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еребренникова\Desktop\Серебренникова З.И\РАСКРЫТИЕ ИНФОРМАЦИИ\Раскрытие информации по аэроп. деят\пост. 938\2018\"/>
    </mc:Choice>
  </mc:AlternateContent>
  <xr:revisionPtr revIDLastSave="0" documentId="13_ncr:1_{6A871D90-5CE9-4722-AED8-B34E67AF8BF7}" xr6:coauthVersionLast="31" xr6:coauthVersionMax="31" xr10:uidLastSave="{00000000-0000-0000-0000-000000000000}"/>
  <bookViews>
    <workbookView xWindow="120" yWindow="60" windowWidth="18975" windowHeight="7365" activeTab="7" xr2:uid="{00000000-000D-0000-FFFF-FFFF00000000}"/>
  </bookViews>
  <sheets>
    <sheet name="2017" sheetId="3" r:id="rId1"/>
    <sheet name="расходы 2017" sheetId="1" r:id="rId2"/>
    <sheet name="Д и Р по бюджету 2018" sheetId="4" r:id="rId3"/>
    <sheet name="расшиф расходов 2018" sheetId="5" r:id="rId4"/>
    <sheet name="доходы и расх прогноз 2019" sheetId="6" r:id="rId5"/>
    <sheet name="расш расходов прогноз 2019" sheetId="7" r:id="rId6"/>
    <sheet name="дох расх прогноз 2020" sheetId="8" r:id="rId7"/>
    <sheet name="расш расх прогноз 2020" sheetId="9" r:id="rId8"/>
  </sheets>
  <calcPr calcId="179017"/>
</workbook>
</file>

<file path=xl/calcChain.xml><?xml version="1.0" encoding="utf-8"?>
<calcChain xmlns="http://schemas.openxmlformats.org/spreadsheetml/2006/main">
  <c r="C14" i="9" l="1"/>
  <c r="D14" i="9"/>
  <c r="E14" i="9"/>
  <c r="E8" i="9" s="1"/>
  <c r="F14" i="9"/>
  <c r="G14" i="9"/>
  <c r="G9" i="9" s="1"/>
  <c r="H14" i="9"/>
  <c r="I14" i="9"/>
  <c r="J14" i="9"/>
  <c r="K14" i="9"/>
  <c r="L14" i="9"/>
  <c r="I15" i="9"/>
  <c r="J15" i="9"/>
  <c r="K15" i="9"/>
  <c r="L15" i="9"/>
  <c r="E11" i="9"/>
  <c r="E10" i="9"/>
  <c r="E9" i="9"/>
  <c r="E7" i="9"/>
  <c r="G10" i="9"/>
  <c r="L12" i="9"/>
  <c r="J12" i="9"/>
  <c r="G7" i="9" l="1"/>
  <c r="G11" i="9"/>
  <c r="G8" i="9"/>
  <c r="B11" i="9"/>
  <c r="B10" i="9"/>
  <c r="B9" i="9"/>
  <c r="B8" i="9"/>
  <c r="B7" i="9"/>
  <c r="B6" i="9" l="1"/>
  <c r="F21" i="8"/>
  <c r="F11" i="9"/>
  <c r="B12" i="9"/>
  <c r="F10" i="9"/>
  <c r="F8" i="9"/>
  <c r="G6" i="9"/>
  <c r="G15" i="9" s="1"/>
  <c r="H14" i="7"/>
  <c r="H11" i="7"/>
  <c r="F23" i="6"/>
  <c r="L12" i="7"/>
  <c r="L14" i="7" s="1"/>
  <c r="J12" i="7"/>
  <c r="J14" i="7" s="1"/>
  <c r="G14" i="7"/>
  <c r="G10" i="7" s="1"/>
  <c r="F14" i="7"/>
  <c r="E14" i="7"/>
  <c r="E10" i="7" s="1"/>
  <c r="F10" i="7" s="1"/>
  <c r="D14" i="7"/>
  <c r="D10" i="7" s="1"/>
  <c r="D11" i="7"/>
  <c r="D8" i="7"/>
  <c r="D7" i="7"/>
  <c r="B12" i="7"/>
  <c r="B11" i="7"/>
  <c r="B10" i="7"/>
  <c r="B9" i="7"/>
  <c r="B8" i="7"/>
  <c r="B7" i="7"/>
  <c r="K14" i="7"/>
  <c r="I14" i="7"/>
  <c r="C14" i="7"/>
  <c r="G11" i="7"/>
  <c r="G9" i="7"/>
  <c r="E9" i="7"/>
  <c r="F9" i="7" s="1"/>
  <c r="G8" i="7"/>
  <c r="G7" i="7"/>
  <c r="E7" i="7"/>
  <c r="G11" i="5"/>
  <c r="G10" i="5"/>
  <c r="G9" i="5"/>
  <c r="G8" i="5"/>
  <c r="H8" i="5" s="1"/>
  <c r="G7" i="5"/>
  <c r="E11" i="5"/>
  <c r="E10" i="5"/>
  <c r="H10" i="5" s="1"/>
  <c r="E9" i="5"/>
  <c r="F9" i="5" s="1"/>
  <c r="E8" i="5"/>
  <c r="F8" i="5" s="1"/>
  <c r="E7" i="5"/>
  <c r="F7" i="5" s="1"/>
  <c r="D11" i="5"/>
  <c r="H11" i="5" s="1"/>
  <c r="D10" i="5"/>
  <c r="D9" i="5"/>
  <c r="H9" i="5" s="1"/>
  <c r="D8" i="5"/>
  <c r="D7" i="5"/>
  <c r="H7" i="5" s="1"/>
  <c r="H14" i="5"/>
  <c r="D14" i="5"/>
  <c r="F11" i="5"/>
  <c r="F10" i="5"/>
  <c r="C14" i="5"/>
  <c r="I14" i="5"/>
  <c r="J14" i="5"/>
  <c r="K14" i="5"/>
  <c r="L14" i="5"/>
  <c r="B12" i="5"/>
  <c r="F26" i="4"/>
  <c r="B14" i="5"/>
  <c r="B11" i="5"/>
  <c r="B6" i="5"/>
  <c r="L12" i="5"/>
  <c r="J12" i="5"/>
  <c r="D16" i="4"/>
  <c r="D13" i="4"/>
  <c r="B6" i="1"/>
  <c r="E6" i="1"/>
  <c r="F6" i="1"/>
  <c r="G6" i="1"/>
  <c r="H6" i="1"/>
  <c r="D6" i="1"/>
  <c r="B8" i="1"/>
  <c r="B9" i="1"/>
  <c r="B10" i="1"/>
  <c r="B11" i="1"/>
  <c r="B7" i="1"/>
  <c r="H11" i="1"/>
  <c r="H10" i="1"/>
  <c r="H9" i="1"/>
  <c r="H8" i="1"/>
  <c r="H7" i="1"/>
  <c r="D11" i="1"/>
  <c r="D10" i="1"/>
  <c r="D9" i="1"/>
  <c r="D8" i="1"/>
  <c r="D7" i="1"/>
  <c r="G11" i="1"/>
  <c r="F11" i="1"/>
  <c r="E11" i="1"/>
  <c r="E10" i="1"/>
  <c r="B12" i="1"/>
  <c r="J12" i="1"/>
  <c r="L12" i="1"/>
  <c r="F9" i="9" l="1"/>
  <c r="G6" i="7"/>
  <c r="E6" i="7"/>
  <c r="E11" i="7"/>
  <c r="F11" i="7" s="1"/>
  <c r="E8" i="7"/>
  <c r="F8" i="7" s="1"/>
  <c r="H10" i="7"/>
  <c r="D9" i="7"/>
  <c r="H9" i="7"/>
  <c r="B6" i="7"/>
  <c r="H7" i="7"/>
  <c r="D6" i="7"/>
  <c r="F7" i="7"/>
  <c r="F6" i="7" s="1"/>
  <c r="H6" i="5"/>
  <c r="G6" i="5"/>
  <c r="F6" i="5"/>
  <c r="E6" i="5"/>
  <c r="D6" i="5"/>
  <c r="D8" i="8"/>
  <c r="D9" i="8"/>
  <c r="D10" i="8"/>
  <c r="D11" i="8"/>
  <c r="D12" i="8"/>
  <c r="D14" i="8"/>
  <c r="D15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7" i="8"/>
  <c r="D29" i="6"/>
  <c r="D27" i="6"/>
  <c r="D8" i="6"/>
  <c r="D9" i="6"/>
  <c r="D10" i="6"/>
  <c r="D11" i="6"/>
  <c r="D12" i="6"/>
  <c r="D13" i="6"/>
  <c r="D13" i="8" s="1"/>
  <c r="D14" i="6"/>
  <c r="D15" i="6"/>
  <c r="D16" i="6"/>
  <c r="D16" i="8" s="1"/>
  <c r="D17" i="6"/>
  <c r="D18" i="6"/>
  <c r="D19" i="6"/>
  <c r="D20" i="6"/>
  <c r="D21" i="6"/>
  <c r="D22" i="6"/>
  <c r="D23" i="6"/>
  <c r="D24" i="6"/>
  <c r="D25" i="6"/>
  <c r="D26" i="6"/>
  <c r="D28" i="6"/>
  <c r="D7" i="6"/>
  <c r="D22" i="4"/>
  <c r="D23" i="4" s="1"/>
  <c r="D29" i="4" s="1"/>
  <c r="D20" i="4"/>
  <c r="D17" i="4"/>
  <c r="D11" i="4"/>
  <c r="D10" i="4"/>
  <c r="F7" i="9" l="1"/>
  <c r="F6" i="9" s="1"/>
  <c r="F15" i="9" s="1"/>
  <c r="E6" i="9"/>
  <c r="E15" i="9" s="1"/>
  <c r="H8" i="7"/>
  <c r="H6" i="7" s="1"/>
  <c r="F10" i="1"/>
  <c r="F9" i="1"/>
  <c r="E9" i="1"/>
  <c r="D23" i="3"/>
  <c r="D7" i="3"/>
  <c r="D17" i="3" s="1"/>
  <c r="D16" i="3"/>
  <c r="D15" i="3"/>
  <c r="D12" i="3"/>
  <c r="D11" i="3"/>
  <c r="D10" i="3"/>
  <c r="D15" i="4"/>
  <c r="D14" i="4"/>
  <c r="B14" i="7" l="1"/>
  <c r="B14" i="9"/>
  <c r="D9" i="9"/>
  <c r="H9" i="9" s="1"/>
  <c r="D8" i="9"/>
  <c r="H8" i="9" s="1"/>
  <c r="D11" i="9"/>
  <c r="H11" i="9" s="1"/>
  <c r="D7" i="9"/>
  <c r="H7" i="9" s="1"/>
  <c r="D10" i="9"/>
  <c r="H10" i="9" s="1"/>
  <c r="D6" i="9" l="1"/>
  <c r="D15" i="9" s="1"/>
  <c r="H6" i="9"/>
  <c r="H15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Серебренникова</author>
  </authors>
  <commentList>
    <comment ref="D21" authorId="0" shapeId="0" xr:uid="{00000000-0006-0000-0600-000001000000}">
      <text>
        <r>
          <rPr>
            <b/>
            <sz val="9"/>
            <color indexed="81"/>
            <rFont val="Tahoma"/>
            <charset val="1"/>
          </rPr>
          <t>Серебренникова:</t>
        </r>
        <r>
          <rPr>
            <sz val="9"/>
            <color indexed="81"/>
            <rFont val="Tahoma"/>
            <charset val="1"/>
          </rPr>
          <t xml:space="preserve">
15млн.-ГЗ + 5млн. РХ</t>
        </r>
      </text>
    </comment>
  </commentList>
</comments>
</file>

<file path=xl/sharedStrings.xml><?xml version="1.0" encoding="utf-8"?>
<sst xmlns="http://schemas.openxmlformats.org/spreadsheetml/2006/main" count="328" uniqueCount="66">
  <si>
    <t>Наименование хозяйств, работ и операций по регулируемым видам деятельности</t>
  </si>
  <si>
    <t>Расходы, всего</t>
  </si>
  <si>
    <t>Проценты к уплате по кредитам и займам</t>
  </si>
  <si>
    <t>Прочие расходы</t>
  </si>
  <si>
    <t>1.1.</t>
  </si>
  <si>
    <t>1.2.</t>
  </si>
  <si>
    <t>1.3.</t>
  </si>
  <si>
    <t>1.4.</t>
  </si>
  <si>
    <t>2.1.</t>
  </si>
  <si>
    <t>2.2.</t>
  </si>
  <si>
    <t>2.3.</t>
  </si>
  <si>
    <t>2.4.</t>
  </si>
  <si>
    <t>10.1.</t>
  </si>
  <si>
    <t>№ п/п</t>
  </si>
  <si>
    <t>Наименование показателей финансово-хозяйственной деятельности субъекта естественных монополий в сфере услуг аэропорта</t>
  </si>
  <si>
    <t>Ед. изм.</t>
  </si>
  <si>
    <t>Доходы всего, в том числе по видам регулируемых услуг</t>
  </si>
  <si>
    <t>Сбор за взлет-посадку</t>
  </si>
  <si>
    <t>Сбор за обеспечение авиационной безопасности</t>
  </si>
  <si>
    <t>Сбор за пользование аэровокзалом</t>
  </si>
  <si>
    <t>Сбор за обслуживание пассажиров</t>
  </si>
  <si>
    <t>тыс. руб.</t>
  </si>
  <si>
    <t>Прибыль (убыток) от продаж</t>
  </si>
  <si>
    <t>Доходы от участия в других организациях</t>
  </si>
  <si>
    <t>Проценты к получению</t>
  </si>
  <si>
    <t>Проценты к уплате</t>
  </si>
  <si>
    <t>Прочие доходы</t>
  </si>
  <si>
    <t>Прибыль (убыток) до налогообложения</t>
  </si>
  <si>
    <t>Текущий налог на прибыль</t>
  </si>
  <si>
    <t>в том числе постоянные налоговые обязательства</t>
  </si>
  <si>
    <t>Изменение отложенных налоговых обязательств</t>
  </si>
  <si>
    <t>Изменение отложенных налоговых активов</t>
  </si>
  <si>
    <t>Прочее</t>
  </si>
  <si>
    <t>Чистая прибыль (убыток)</t>
  </si>
  <si>
    <t>1. Доходы и расходы</t>
  </si>
  <si>
    <t>Расходы всего (включая коммерческие и управленческие расходы), в том числе по видам регулируемых услуг</t>
  </si>
  <si>
    <t>В том числе по статьям затрат</t>
  </si>
  <si>
    <t>расходы, связанные с участием в совместной деятельности</t>
  </si>
  <si>
    <t>затраты на оплату труда</t>
  </si>
  <si>
    <t>амортизация</t>
  </si>
  <si>
    <t>прочие расходы по обычным видам деятельности</t>
  </si>
  <si>
    <t>операционные расходы, связанные с оплатой услуг, оказываемых кредитными организациями</t>
  </si>
  <si>
    <t>налоги и иные обязательные платежи</t>
  </si>
  <si>
    <t>прочие расходы</t>
  </si>
  <si>
    <t>материаль     ные затраты</t>
  </si>
  <si>
    <t>отчисле                        ния на соц. нужды</t>
  </si>
  <si>
    <t>Форма раскрытия информации об основных планируемых показателях финансово-хозяйственной деятельности субъекта естественных монополий в сфере выполнения (оказания) регулируемых работ (услуг)                                                   ОАО "Аэропорт Абакан" на 2018 год</t>
  </si>
  <si>
    <t>Прогноз на              2019 год</t>
  </si>
  <si>
    <t>Сбор за предоставление аэровокзального комплекса</t>
  </si>
  <si>
    <t>Форма раскрытия информации об основных планируемых показателях финансово-хозяйственной деятельности субъекта естественных монополий в сфере выполнения (оказания) регулируемых работ (услуг)                                                   АО "Аэропорт Абакан" за 2017 год</t>
  </si>
  <si>
    <t>Факт              2017 год</t>
  </si>
  <si>
    <t>2. Расшифровка расходов финансово-хозяйственной деятельности АО "Аэропорт Абакан" за 2017 год</t>
  </si>
  <si>
    <t>План на              2018 год</t>
  </si>
  <si>
    <t>Форма раскрытия информации об основных планируемых показателях финансово-хозяйственной деятельности субъекта естественных монополий в сфере выполнения (оказания) регулируемых работ (услуг)                                                   АО "Аэропорт Абакан" на 2019 год</t>
  </si>
  <si>
    <t>Форма раскрытия информации об основных  прогнозируемых показателях финансово-хозяйственной деятельности субъекта естественных монополий в сфере выполнения (оказания) регулируемых работ (услуг)  АО "Аэропорт Абакан" на 2020 год</t>
  </si>
  <si>
    <t>Прогноз на              2020 год</t>
  </si>
  <si>
    <t>1. Регулируемые виды деятельности</t>
  </si>
  <si>
    <t>1.1. Обеспечение взлета, посадки и стоянки воздушных судов</t>
  </si>
  <si>
    <t>1.2. Обеспечение авиационной безопасности</t>
  </si>
  <si>
    <t>1.3. Предоставление аэровокзального комплекса</t>
  </si>
  <si>
    <t>1.4. Обслуживание пассажиров</t>
  </si>
  <si>
    <t>2. Расходы по прочим видам деятельности</t>
  </si>
  <si>
    <t>3. Проочие расходы</t>
  </si>
  <si>
    <t>2. Расшифровка расходов финансово-хозяйственной деятельности АО "Аэропорт Абакан" на 2018 год</t>
  </si>
  <si>
    <t>2. Расшифровка расходов финансово-хозяйственной деятельности АО "Аэропорт Абакан" на 2019 год</t>
  </si>
  <si>
    <t>2. Расшифровка расходов финансово-хозяйственной деятельности АО "Аэропорт Абакан"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</si>
</sst>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19" fillId="33" borderId="10" xfId="0" applyFont="1" applyFill="1" applyBorder="1" applyAlignment="1">
      <alignment wrapText="1"/>
    </xf>
    <xf numFmtId="0" fontId="0" fillId="33" borderId="0" xfId="0" applyFill="1"/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16" fillId="33" borderId="0" xfId="0" applyFont="1" applyFill="1" applyAlignment="1">
      <alignment horizontal="center"/>
    </xf>
    <xf numFmtId="49" fontId="0" fillId="33" borderId="0" xfId="0" applyNumberFormat="1" applyFill="1"/>
    <xf numFmtId="0" fontId="0" fillId="33" borderId="0" xfId="0" applyFill="1" applyAlignment="1">
      <alignment wrapText="1"/>
    </xf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21" fillId="33" borderId="10" xfId="0" applyFont="1" applyFill="1" applyBorder="1" applyAlignment="1">
      <alignment horizontal="left" vertical="center"/>
    </xf>
    <xf numFmtId="0" fontId="21" fillId="33" borderId="10" xfId="0" applyFont="1" applyFill="1" applyBorder="1"/>
    <xf numFmtId="0" fontId="21" fillId="33" borderId="10" xfId="0" applyFont="1" applyFill="1" applyBorder="1" applyAlignment="1">
      <alignment wrapText="1"/>
    </xf>
    <xf numFmtId="0" fontId="21" fillId="33" borderId="0" xfId="0" applyFont="1" applyFill="1"/>
    <xf numFmtId="0" fontId="21" fillId="33" borderId="0" xfId="0" applyFont="1" applyFill="1" applyBorder="1"/>
    <xf numFmtId="49" fontId="21" fillId="33" borderId="0" xfId="0" applyNumberFormat="1" applyFont="1" applyFill="1"/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 wrapText="1"/>
    </xf>
    <xf numFmtId="3" fontId="21" fillId="33" borderId="10" xfId="0" applyNumberFormat="1" applyFont="1" applyFill="1" applyBorder="1" applyAlignment="1">
      <alignment horizontal="right" vertical="center"/>
    </xf>
    <xf numFmtId="3" fontId="19" fillId="33" borderId="10" xfId="0" applyNumberFormat="1" applyFont="1" applyFill="1" applyBorder="1" applyAlignment="1">
      <alignment horizontal="center" wrapText="1"/>
    </xf>
    <xf numFmtId="3" fontId="0" fillId="33" borderId="0" xfId="0" applyNumberFormat="1" applyFill="1"/>
    <xf numFmtId="0" fontId="14" fillId="33" borderId="0" xfId="0" applyFont="1" applyFill="1"/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24" fillId="33" borderId="10" xfId="0" applyFont="1" applyFill="1" applyBorder="1" applyAlignment="1">
      <alignment wrapText="1"/>
    </xf>
    <xf numFmtId="3" fontId="24" fillId="33" borderId="10" xfId="0" applyNumberFormat="1" applyFont="1" applyFill="1" applyBorder="1" applyAlignment="1">
      <alignment horizontal="center" wrapText="1"/>
    </xf>
    <xf numFmtId="3" fontId="24" fillId="33" borderId="10" xfId="0" applyNumberFormat="1" applyFont="1" applyFill="1" applyBorder="1" applyAlignment="1">
      <alignment wrapText="1"/>
    </xf>
    <xf numFmtId="1" fontId="0" fillId="33" borderId="0" xfId="0" applyNumberFormat="1" applyFill="1"/>
    <xf numFmtId="1" fontId="0" fillId="33" borderId="0" xfId="0" applyNumberFormat="1" applyFill="1" applyAlignment="1">
      <alignment wrapText="1"/>
    </xf>
    <xf numFmtId="0" fontId="18" fillId="33" borderId="0" xfId="0" applyFont="1" applyFill="1" applyAlignment="1">
      <alignment horizontal="center" wrapText="1"/>
    </xf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/>
    </xf>
    <xf numFmtId="0" fontId="19" fillId="33" borderId="12" xfId="0" applyFont="1" applyFill="1" applyBorder="1" applyAlignment="1">
      <alignment horizontal="center"/>
    </xf>
    <xf numFmtId="0" fontId="19" fillId="33" borderId="13" xfId="0" applyFont="1" applyFill="1" applyBorder="1" applyAlignment="1">
      <alignment horizontal="center"/>
    </xf>
    <xf numFmtId="0" fontId="20" fillId="33" borderId="0" xfId="0" applyFont="1" applyFill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workbookViewId="0">
      <selection activeCell="E11" sqref="E11:F17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16384" width="9.140625" style="2"/>
  </cols>
  <sheetData>
    <row r="1" spans="1:5" ht="3" customHeight="1" x14ac:dyDescent="0.25"/>
    <row r="2" spans="1:5" ht="83.25" customHeight="1" x14ac:dyDescent="0.3">
      <c r="A2" s="29" t="s">
        <v>49</v>
      </c>
      <c r="B2" s="29"/>
      <c r="C2" s="29"/>
      <c r="D2" s="29"/>
    </row>
    <row r="4" spans="1:5" x14ac:dyDescent="0.25">
      <c r="B4" s="5" t="s">
        <v>34</v>
      </c>
    </row>
    <row r="6" spans="1:5" ht="43.9" customHeight="1" x14ac:dyDescent="0.25">
      <c r="A6" s="16" t="s">
        <v>13</v>
      </c>
      <c r="B6" s="17" t="s">
        <v>14</v>
      </c>
      <c r="C6" s="16" t="s">
        <v>15</v>
      </c>
      <c r="D6" s="17" t="s">
        <v>50</v>
      </c>
    </row>
    <row r="7" spans="1:5" x14ac:dyDescent="0.25">
      <c r="A7" s="10">
        <v>1</v>
      </c>
      <c r="B7" s="11" t="s">
        <v>16</v>
      </c>
      <c r="C7" s="11" t="s">
        <v>21</v>
      </c>
      <c r="D7" s="18">
        <f>252715</f>
        <v>252715</v>
      </c>
    </row>
    <row r="8" spans="1:5" x14ac:dyDescent="0.25">
      <c r="A8" s="10" t="s">
        <v>4</v>
      </c>
      <c r="B8" s="11" t="s">
        <v>17</v>
      </c>
      <c r="C8" s="11" t="s">
        <v>21</v>
      </c>
      <c r="D8" s="18">
        <v>58361</v>
      </c>
    </row>
    <row r="9" spans="1:5" x14ac:dyDescent="0.25">
      <c r="A9" s="10" t="s">
        <v>5</v>
      </c>
      <c r="B9" s="11" t="s">
        <v>18</v>
      </c>
      <c r="C9" s="11" t="s">
        <v>21</v>
      </c>
      <c r="D9" s="18">
        <v>37081</v>
      </c>
    </row>
    <row r="10" spans="1:5" x14ac:dyDescent="0.25">
      <c r="A10" s="10" t="s">
        <v>6</v>
      </c>
      <c r="B10" s="11" t="s">
        <v>19</v>
      </c>
      <c r="C10" s="11" t="s">
        <v>21</v>
      </c>
      <c r="D10" s="18">
        <f>19727+1666</f>
        <v>21393</v>
      </c>
    </row>
    <row r="11" spans="1:5" x14ac:dyDescent="0.25">
      <c r="A11" s="10" t="s">
        <v>7</v>
      </c>
      <c r="B11" s="11" t="s">
        <v>20</v>
      </c>
      <c r="C11" s="11" t="s">
        <v>21</v>
      </c>
      <c r="D11" s="18">
        <f>15980+3129</f>
        <v>19109</v>
      </c>
    </row>
    <row r="12" spans="1:5" ht="27" customHeight="1" x14ac:dyDescent="0.25">
      <c r="A12" s="10">
        <v>2</v>
      </c>
      <c r="B12" s="12" t="s">
        <v>35</v>
      </c>
      <c r="C12" s="11" t="s">
        <v>21</v>
      </c>
      <c r="D12" s="18">
        <f>268509+4126</f>
        <v>272635</v>
      </c>
    </row>
    <row r="13" spans="1:5" x14ac:dyDescent="0.25">
      <c r="A13" s="10" t="s">
        <v>8</v>
      </c>
      <c r="B13" s="11" t="s">
        <v>17</v>
      </c>
      <c r="C13" s="11" t="s">
        <v>21</v>
      </c>
      <c r="D13" s="18">
        <v>97470</v>
      </c>
      <c r="E13" s="27"/>
    </row>
    <row r="14" spans="1:5" x14ac:dyDescent="0.25">
      <c r="A14" s="10" t="s">
        <v>9</v>
      </c>
      <c r="B14" s="11" t="s">
        <v>18</v>
      </c>
      <c r="C14" s="11" t="s">
        <v>21</v>
      </c>
      <c r="D14" s="18">
        <v>41086</v>
      </c>
      <c r="E14" s="27"/>
    </row>
    <row r="15" spans="1:5" x14ac:dyDescent="0.25">
      <c r="A15" s="10" t="s">
        <v>10</v>
      </c>
      <c r="B15" s="11" t="s">
        <v>48</v>
      </c>
      <c r="C15" s="11" t="s">
        <v>21</v>
      </c>
      <c r="D15" s="18">
        <f>12661+625</f>
        <v>13286</v>
      </c>
      <c r="E15" s="27"/>
    </row>
    <row r="16" spans="1:5" x14ac:dyDescent="0.25">
      <c r="A16" s="10" t="s">
        <v>11</v>
      </c>
      <c r="B16" s="11" t="s">
        <v>20</v>
      </c>
      <c r="C16" s="11" t="s">
        <v>21</v>
      </c>
      <c r="D16" s="18">
        <f>16153+823</f>
        <v>16976</v>
      </c>
      <c r="E16" s="27"/>
    </row>
    <row r="17" spans="1:6" x14ac:dyDescent="0.25">
      <c r="A17" s="10">
        <v>3</v>
      </c>
      <c r="B17" s="11" t="s">
        <v>22</v>
      </c>
      <c r="C17" s="11" t="s">
        <v>21</v>
      </c>
      <c r="D17" s="18">
        <f>D7-D12</f>
        <v>-19920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v>17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v>1539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v>35373</v>
      </c>
    </row>
    <row r="22" spans="1:6" x14ac:dyDescent="0.25">
      <c r="A22" s="10">
        <v>8</v>
      </c>
      <c r="B22" s="11" t="s">
        <v>3</v>
      </c>
      <c r="C22" s="11" t="s">
        <v>21</v>
      </c>
      <c r="D22" s="18">
        <v>11378</v>
      </c>
      <c r="F22" s="20"/>
    </row>
    <row r="23" spans="1:6" x14ac:dyDescent="0.25">
      <c r="A23" s="10">
        <v>9</v>
      </c>
      <c r="B23" s="11" t="s">
        <v>27</v>
      </c>
      <c r="C23" s="11" t="s">
        <v>21</v>
      </c>
      <c r="D23" s="18">
        <f>D17+D19+D21-D18-D20-D22</f>
        <v>2553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v>-923</v>
      </c>
      <c r="F24" s="20"/>
    </row>
    <row r="25" spans="1:6" x14ac:dyDescent="0.25">
      <c r="A25" s="10" t="s">
        <v>12</v>
      </c>
      <c r="B25" s="11" t="s">
        <v>29</v>
      </c>
      <c r="C25" s="11" t="s">
        <v>21</v>
      </c>
      <c r="D25" s="18">
        <v>1083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v>252</v>
      </c>
    </row>
    <row r="27" spans="1:6" x14ac:dyDescent="0.25">
      <c r="A27" s="10">
        <v>12</v>
      </c>
      <c r="B27" s="11" t="s">
        <v>31</v>
      </c>
      <c r="C27" s="11" t="s">
        <v>21</v>
      </c>
      <c r="D27" s="18">
        <v>929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v>953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30"/>
      <c r="B32" s="30"/>
      <c r="C32" s="30"/>
      <c r="D32" s="30"/>
    </row>
  </sheetData>
  <mergeCells count="2">
    <mergeCell ref="A2:D2"/>
    <mergeCell ref="A32:D32"/>
  </mergeCells>
  <pageMargins left="0" right="0" top="0" bottom="0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4"/>
  <sheetViews>
    <sheetView workbookViewId="0">
      <selection activeCell="C19" sqref="C19"/>
    </sheetView>
  </sheetViews>
  <sheetFormatPr defaultColWidth="9.140625" defaultRowHeight="15" x14ac:dyDescent="0.25"/>
  <cols>
    <col min="1" max="1" width="24.8554687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35" t="s">
        <v>51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4" spans="1:14" ht="15" customHeight="1" x14ac:dyDescent="0.25">
      <c r="A4" s="31" t="s">
        <v>0</v>
      </c>
      <c r="B4" s="31" t="s">
        <v>1</v>
      </c>
      <c r="C4" s="32" t="s">
        <v>36</v>
      </c>
      <c r="D4" s="33"/>
      <c r="E4" s="33"/>
      <c r="F4" s="33"/>
      <c r="G4" s="33"/>
      <c r="H4" s="33"/>
      <c r="I4" s="33"/>
      <c r="J4" s="33"/>
      <c r="K4" s="33"/>
      <c r="L4" s="34"/>
    </row>
    <row r="5" spans="1:14" ht="98.25" customHeight="1" x14ac:dyDescent="0.25">
      <c r="A5" s="31"/>
      <c r="B5" s="31"/>
      <c r="C5" s="23" t="s">
        <v>37</v>
      </c>
      <c r="D5" s="23" t="s">
        <v>44</v>
      </c>
      <c r="E5" s="23" t="s">
        <v>38</v>
      </c>
      <c r="F5" s="23" t="s">
        <v>45</v>
      </c>
      <c r="G5" s="23" t="s">
        <v>39</v>
      </c>
      <c r="H5" s="23" t="s">
        <v>40</v>
      </c>
      <c r="I5" s="23" t="s">
        <v>41</v>
      </c>
      <c r="J5" s="23" t="s">
        <v>2</v>
      </c>
      <c r="K5" s="23" t="s">
        <v>42</v>
      </c>
      <c r="L5" s="23" t="s">
        <v>43</v>
      </c>
      <c r="M5" s="3"/>
      <c r="N5" s="3"/>
    </row>
    <row r="6" spans="1:14" ht="26.25" customHeight="1" x14ac:dyDescent="0.25">
      <c r="A6" s="24" t="s">
        <v>56</v>
      </c>
      <c r="B6" s="25">
        <f>SUM(C6:H6)</f>
        <v>168818</v>
      </c>
      <c r="C6" s="25"/>
      <c r="D6" s="25">
        <f>D7+D8+D9+D10</f>
        <v>20230</v>
      </c>
      <c r="E6" s="25">
        <f t="shared" ref="E6:H6" si="0">E7+E8+E9+E10</f>
        <v>90637</v>
      </c>
      <c r="F6" s="25">
        <f t="shared" si="0"/>
        <v>22289</v>
      </c>
      <c r="G6" s="25">
        <f t="shared" si="0"/>
        <v>1332</v>
      </c>
      <c r="H6" s="25">
        <f t="shared" si="0"/>
        <v>34330</v>
      </c>
      <c r="I6" s="25"/>
      <c r="J6" s="25"/>
      <c r="K6" s="25"/>
      <c r="L6" s="25"/>
      <c r="M6" s="3"/>
      <c r="N6" s="3"/>
    </row>
    <row r="7" spans="1:14" ht="39" x14ac:dyDescent="0.25">
      <c r="A7" s="1" t="s">
        <v>57</v>
      </c>
      <c r="B7" s="19">
        <f>SUM(C7:L7)</f>
        <v>97470</v>
      </c>
      <c r="C7" s="19"/>
      <c r="D7" s="19">
        <f>11220+779</f>
        <v>11999</v>
      </c>
      <c r="E7" s="19">
        <v>46670</v>
      </c>
      <c r="F7" s="19">
        <v>11350</v>
      </c>
      <c r="G7" s="19">
        <v>733</v>
      </c>
      <c r="H7" s="19">
        <f>19354+4494+2870</f>
        <v>26718</v>
      </c>
      <c r="I7" s="19"/>
      <c r="J7" s="19"/>
      <c r="K7" s="19"/>
      <c r="L7" s="19"/>
      <c r="M7" s="3"/>
      <c r="N7" s="3"/>
    </row>
    <row r="8" spans="1:14" ht="26.25" x14ac:dyDescent="0.25">
      <c r="A8" s="1" t="s">
        <v>58</v>
      </c>
      <c r="B8" s="19">
        <f t="shared" ref="B8:B11" si="1">SUM(C8:L8)</f>
        <v>41086</v>
      </c>
      <c r="C8" s="19"/>
      <c r="D8" s="19">
        <f>2172+643</f>
        <v>2815</v>
      </c>
      <c r="E8" s="19">
        <v>26978</v>
      </c>
      <c r="F8" s="19">
        <v>6650</v>
      </c>
      <c r="G8" s="19">
        <v>358</v>
      </c>
      <c r="H8" s="19">
        <f>1130+1633+1522</f>
        <v>4285</v>
      </c>
      <c r="I8" s="19"/>
      <c r="J8" s="19"/>
      <c r="K8" s="19"/>
      <c r="L8" s="19"/>
      <c r="M8" s="7"/>
      <c r="N8" s="7"/>
    </row>
    <row r="9" spans="1:14" ht="27.75" customHeight="1" x14ac:dyDescent="0.25">
      <c r="A9" s="1" t="s">
        <v>59</v>
      </c>
      <c r="B9" s="19">
        <f t="shared" si="1"/>
        <v>13286</v>
      </c>
      <c r="C9" s="19"/>
      <c r="D9" s="19">
        <f>428+17+184+7</f>
        <v>636</v>
      </c>
      <c r="E9" s="19">
        <f>8209+432</f>
        <v>8641</v>
      </c>
      <c r="F9" s="19">
        <f>2080+110</f>
        <v>2190</v>
      </c>
      <c r="G9" s="19">
        <v>71</v>
      </c>
      <c r="H9" s="19">
        <f>618+681+36+392+21</f>
        <v>1748</v>
      </c>
      <c r="I9" s="19"/>
      <c r="J9" s="19"/>
      <c r="K9" s="19"/>
      <c r="L9" s="19"/>
      <c r="M9" s="7"/>
      <c r="N9" s="7"/>
    </row>
    <row r="10" spans="1:14" ht="26.25" x14ac:dyDescent="0.25">
      <c r="A10" s="1" t="s">
        <v>60</v>
      </c>
      <c r="B10" s="19">
        <f t="shared" si="1"/>
        <v>16976</v>
      </c>
      <c r="C10" s="19"/>
      <c r="D10" s="19">
        <f>2926+153+1628+73</f>
        <v>4780</v>
      </c>
      <c r="E10" s="19">
        <f>7931+417</f>
        <v>8348</v>
      </c>
      <c r="F10" s="19">
        <f>1994+105</f>
        <v>2099</v>
      </c>
      <c r="G10" s="19">
        <v>170</v>
      </c>
      <c r="H10" s="19">
        <f>257+846+452+24</f>
        <v>1579</v>
      </c>
      <c r="I10" s="19"/>
      <c r="J10" s="19"/>
      <c r="K10" s="19"/>
      <c r="L10" s="19"/>
      <c r="M10" s="3"/>
      <c r="N10" s="3"/>
    </row>
    <row r="11" spans="1:14" ht="26.25" x14ac:dyDescent="0.25">
      <c r="A11" s="24" t="s">
        <v>61</v>
      </c>
      <c r="B11" s="25">
        <f t="shared" si="1"/>
        <v>100840</v>
      </c>
      <c r="C11" s="25"/>
      <c r="D11" s="25">
        <f>795+4403+6184+360+1461+1666</f>
        <v>14869</v>
      </c>
      <c r="E11" s="25">
        <f>4764+28067+14959</f>
        <v>47790</v>
      </c>
      <c r="F11" s="25">
        <f>1200+7065+3754</f>
        <v>12019</v>
      </c>
      <c r="G11" s="25">
        <f>98+1159+636</f>
        <v>1893</v>
      </c>
      <c r="H11" s="25">
        <f>120+9878+770+226+1725+1018+259+3383+6890</f>
        <v>24269</v>
      </c>
      <c r="I11" s="25"/>
      <c r="J11" s="25"/>
      <c r="K11" s="25"/>
      <c r="L11" s="25"/>
      <c r="M11" s="3"/>
      <c r="N11" s="3"/>
    </row>
    <row r="12" spans="1:14" x14ac:dyDescent="0.25">
      <c r="A12" s="24" t="s">
        <v>62</v>
      </c>
      <c r="B12" s="25">
        <f>SUM(C12:L12)</f>
        <v>12917</v>
      </c>
      <c r="C12" s="24"/>
      <c r="D12" s="24"/>
      <c r="E12" s="24"/>
      <c r="F12" s="24"/>
      <c r="G12" s="24"/>
      <c r="H12" s="24"/>
      <c r="I12" s="24"/>
      <c r="J12" s="26">
        <f>'2017'!D20</f>
        <v>1539</v>
      </c>
      <c r="K12" s="24"/>
      <c r="L12" s="26">
        <f>'2017'!D22</f>
        <v>11378</v>
      </c>
      <c r="M12" s="3"/>
      <c r="N12" s="3"/>
    </row>
    <row r="13" spans="1:14" x14ac:dyDescent="0.25">
      <c r="A13" s="3"/>
      <c r="B13" s="3"/>
      <c r="C13" s="3"/>
      <c r="D13" s="3"/>
      <c r="E13" s="3"/>
      <c r="F13" s="3"/>
      <c r="G13" s="3"/>
      <c r="H13" s="3"/>
      <c r="I13" s="22"/>
      <c r="J13" s="22"/>
      <c r="K13" s="22"/>
      <c r="L13" s="22"/>
      <c r="M13" s="3"/>
      <c r="N13" s="3"/>
    </row>
    <row r="14" spans="1:14" x14ac:dyDescent="0.25">
      <c r="B14" s="20"/>
    </row>
  </sheetData>
  <mergeCells count="4">
    <mergeCell ref="A4:A5"/>
    <mergeCell ref="B4:B5"/>
    <mergeCell ref="C4:L4"/>
    <mergeCell ref="A2:L2"/>
  </mergeCells>
  <pageMargins left="0.39370078740157483" right="0.39370078740157483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F32"/>
  <sheetViews>
    <sheetView workbookViewId="0">
      <selection activeCell="F27" sqref="F27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16384" width="9.140625" style="2"/>
  </cols>
  <sheetData>
    <row r="1" spans="1:4" ht="3" customHeight="1" x14ac:dyDescent="0.25"/>
    <row r="2" spans="1:4" ht="83.25" customHeight="1" x14ac:dyDescent="0.3">
      <c r="A2" s="29" t="s">
        <v>46</v>
      </c>
      <c r="B2" s="29"/>
      <c r="C2" s="29"/>
      <c r="D2" s="29"/>
    </row>
    <row r="4" spans="1:4" x14ac:dyDescent="0.25">
      <c r="B4" s="5" t="s">
        <v>34</v>
      </c>
    </row>
    <row r="6" spans="1:4" ht="43.9" customHeight="1" x14ac:dyDescent="0.25">
      <c r="A6" s="16" t="s">
        <v>13</v>
      </c>
      <c r="B6" s="17" t="s">
        <v>14</v>
      </c>
      <c r="C6" s="16" t="s">
        <v>15</v>
      </c>
      <c r="D6" s="17" t="s">
        <v>52</v>
      </c>
    </row>
    <row r="7" spans="1:4" x14ac:dyDescent="0.25">
      <c r="A7" s="10">
        <v>1</v>
      </c>
      <c r="B7" s="11" t="s">
        <v>16</v>
      </c>
      <c r="C7" s="11" t="s">
        <v>21</v>
      </c>
      <c r="D7" s="18">
        <v>289160</v>
      </c>
    </row>
    <row r="8" spans="1:4" x14ac:dyDescent="0.25">
      <c r="A8" s="10" t="s">
        <v>4</v>
      </c>
      <c r="B8" s="11" t="s">
        <v>17</v>
      </c>
      <c r="C8" s="11" t="s">
        <v>21</v>
      </c>
      <c r="D8" s="18">
        <v>89740</v>
      </c>
    </row>
    <row r="9" spans="1:4" x14ac:dyDescent="0.25">
      <c r="A9" s="10" t="s">
        <v>5</v>
      </c>
      <c r="B9" s="11" t="s">
        <v>18</v>
      </c>
      <c r="C9" s="11" t="s">
        <v>21</v>
      </c>
      <c r="D9" s="18">
        <v>38839</v>
      </c>
    </row>
    <row r="10" spans="1:4" x14ac:dyDescent="0.25">
      <c r="A10" s="10" t="s">
        <v>6</v>
      </c>
      <c r="B10" s="11" t="s">
        <v>19</v>
      </c>
      <c r="C10" s="11" t="s">
        <v>21</v>
      </c>
      <c r="D10" s="18">
        <f>10160+489+9925+477</f>
        <v>21051</v>
      </c>
    </row>
    <row r="11" spans="1:4" x14ac:dyDescent="0.25">
      <c r="A11" s="10" t="s">
        <v>7</v>
      </c>
      <c r="B11" s="11" t="s">
        <v>20</v>
      </c>
      <c r="C11" s="11" t="s">
        <v>21</v>
      </c>
      <c r="D11" s="18">
        <f>18599+896</f>
        <v>19495</v>
      </c>
    </row>
    <row r="12" spans="1:4" ht="27" customHeight="1" x14ac:dyDescent="0.25">
      <c r="A12" s="10">
        <v>2</v>
      </c>
      <c r="B12" s="12" t="s">
        <v>35</v>
      </c>
      <c r="C12" s="11" t="s">
        <v>21</v>
      </c>
      <c r="D12" s="18">
        <v>307530</v>
      </c>
    </row>
    <row r="13" spans="1:4" x14ac:dyDescent="0.25">
      <c r="A13" s="10" t="s">
        <v>8</v>
      </c>
      <c r="B13" s="11" t="s">
        <v>17</v>
      </c>
      <c r="C13" s="11" t="s">
        <v>21</v>
      </c>
      <c r="D13" s="18">
        <f>D12*36%</f>
        <v>110710.8</v>
      </c>
    </row>
    <row r="14" spans="1:4" x14ac:dyDescent="0.25">
      <c r="A14" s="10" t="s">
        <v>9</v>
      </c>
      <c r="B14" s="11" t="s">
        <v>18</v>
      </c>
      <c r="C14" s="11" t="s">
        <v>21</v>
      </c>
      <c r="D14" s="18">
        <f>D12*15%</f>
        <v>46129.5</v>
      </c>
    </row>
    <row r="15" spans="1:4" x14ac:dyDescent="0.25">
      <c r="A15" s="10" t="s">
        <v>10</v>
      </c>
      <c r="B15" s="11" t="s">
        <v>48</v>
      </c>
      <c r="C15" s="11" t="s">
        <v>21</v>
      </c>
      <c r="D15" s="18">
        <f>D12*5%</f>
        <v>15376.5</v>
      </c>
    </row>
    <row r="16" spans="1:4" x14ac:dyDescent="0.25">
      <c r="A16" s="10" t="s">
        <v>11</v>
      </c>
      <c r="B16" s="11" t="s">
        <v>20</v>
      </c>
      <c r="C16" s="11" t="s">
        <v>21</v>
      </c>
      <c r="D16" s="18">
        <f>D12*6%</f>
        <v>18451.8</v>
      </c>
    </row>
    <row r="17" spans="1:6" x14ac:dyDescent="0.25">
      <c r="A17" s="10">
        <v>3</v>
      </c>
      <c r="B17" s="11" t="s">
        <v>22</v>
      </c>
      <c r="C17" s="11" t="s">
        <v>21</v>
      </c>
      <c r="D17" s="18">
        <f>D7-D12</f>
        <v>-18370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v>0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f>2489+1388</f>
        <v>3877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v>35018</v>
      </c>
    </row>
    <row r="22" spans="1:6" x14ac:dyDescent="0.25">
      <c r="A22" s="10">
        <v>8</v>
      </c>
      <c r="B22" s="11" t="s">
        <v>3</v>
      </c>
      <c r="C22" s="11" t="s">
        <v>21</v>
      </c>
      <c r="D22" s="18">
        <f>480+200+154</f>
        <v>834</v>
      </c>
    </row>
    <row r="23" spans="1:6" x14ac:dyDescent="0.25">
      <c r="A23" s="10">
        <v>9</v>
      </c>
      <c r="B23" s="11" t="s">
        <v>27</v>
      </c>
      <c r="C23" s="11" t="s">
        <v>21</v>
      </c>
      <c r="D23" s="18">
        <f>D17+D21-D20-D22</f>
        <v>11937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v>0</v>
      </c>
    </row>
    <row r="25" spans="1:6" x14ac:dyDescent="0.25">
      <c r="A25" s="10" t="s">
        <v>12</v>
      </c>
      <c r="B25" s="11" t="s">
        <v>29</v>
      </c>
      <c r="C25" s="11" t="s">
        <v>21</v>
      </c>
      <c r="D25" s="18">
        <v>0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v>0</v>
      </c>
      <c r="F26" s="20">
        <f>D12+D20+D22</f>
        <v>312241</v>
      </c>
    </row>
    <row r="27" spans="1:6" x14ac:dyDescent="0.25">
      <c r="A27" s="10">
        <v>12</v>
      </c>
      <c r="B27" s="11" t="s">
        <v>31</v>
      </c>
      <c r="C27" s="11" t="s">
        <v>21</v>
      </c>
      <c r="D27" s="18">
        <v>2387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f>D23-D27</f>
        <v>9550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30"/>
      <c r="B32" s="30"/>
      <c r="C32" s="30"/>
      <c r="D32" s="30"/>
    </row>
  </sheetData>
  <mergeCells count="2">
    <mergeCell ref="A2:D2"/>
    <mergeCell ref="A32:D3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2:N14"/>
  <sheetViews>
    <sheetView workbookViewId="0">
      <selection activeCell="F24" sqref="F24"/>
    </sheetView>
  </sheetViews>
  <sheetFormatPr defaultColWidth="9.140625" defaultRowHeight="15" x14ac:dyDescent="0.25"/>
  <cols>
    <col min="1" max="1" width="24.8554687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35" t="s">
        <v>63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4" spans="1:14" ht="15" customHeight="1" x14ac:dyDescent="0.25">
      <c r="A4" s="31" t="s">
        <v>0</v>
      </c>
      <c r="B4" s="31" t="s">
        <v>1</v>
      </c>
      <c r="C4" s="32" t="s">
        <v>36</v>
      </c>
      <c r="D4" s="33"/>
      <c r="E4" s="33"/>
      <c r="F4" s="33"/>
      <c r="G4" s="33"/>
      <c r="H4" s="33"/>
      <c r="I4" s="33"/>
      <c r="J4" s="33"/>
      <c r="K4" s="33"/>
      <c r="L4" s="34"/>
    </row>
    <row r="5" spans="1:14" ht="98.25" customHeight="1" x14ac:dyDescent="0.25">
      <c r="A5" s="31"/>
      <c r="B5" s="31"/>
      <c r="C5" s="23" t="s">
        <v>37</v>
      </c>
      <c r="D5" s="23" t="s">
        <v>44</v>
      </c>
      <c r="E5" s="23" t="s">
        <v>38</v>
      </c>
      <c r="F5" s="23" t="s">
        <v>45</v>
      </c>
      <c r="G5" s="23" t="s">
        <v>39</v>
      </c>
      <c r="H5" s="23" t="s">
        <v>40</v>
      </c>
      <c r="I5" s="23" t="s">
        <v>41</v>
      </c>
      <c r="J5" s="23" t="s">
        <v>2</v>
      </c>
      <c r="K5" s="23" t="s">
        <v>42</v>
      </c>
      <c r="L5" s="23" t="s">
        <v>43</v>
      </c>
      <c r="M5" s="22"/>
      <c r="N5" s="22"/>
    </row>
    <row r="6" spans="1:14" ht="26.25" customHeight="1" x14ac:dyDescent="0.25">
      <c r="A6" s="24" t="s">
        <v>56</v>
      </c>
      <c r="B6" s="25">
        <f>SUM(B7:B10)</f>
        <v>190670</v>
      </c>
      <c r="C6" s="25"/>
      <c r="D6" s="25">
        <f>D7+D8+D9+D10</f>
        <v>33048.58</v>
      </c>
      <c r="E6" s="25">
        <f t="shared" ref="E6:H6" si="0">E7+E8+E9+E10</f>
        <v>90220.020000000019</v>
      </c>
      <c r="F6" s="25">
        <f t="shared" si="0"/>
        <v>27462.974088000003</v>
      </c>
      <c r="G6" s="25">
        <f t="shared" si="0"/>
        <v>1917.98</v>
      </c>
      <c r="H6" s="25">
        <f t="shared" si="0"/>
        <v>38020.44591200001</v>
      </c>
      <c r="I6" s="25"/>
      <c r="J6" s="25"/>
      <c r="K6" s="25"/>
      <c r="L6" s="25"/>
      <c r="M6" s="22"/>
      <c r="N6" s="22"/>
    </row>
    <row r="7" spans="1:14" ht="39" x14ac:dyDescent="0.25">
      <c r="A7" s="1" t="s">
        <v>57</v>
      </c>
      <c r="B7" s="19">
        <v>110711</v>
      </c>
      <c r="C7" s="19"/>
      <c r="D7" s="19">
        <f>D14*40%</f>
        <v>21671.200000000001</v>
      </c>
      <c r="E7" s="19">
        <f>E14*34%</f>
        <v>46476.98</v>
      </c>
      <c r="F7" s="19">
        <f>E7*30.44%</f>
        <v>14147.592712000001</v>
      </c>
      <c r="G7" s="19">
        <f>G14*23%</f>
        <v>1075.94</v>
      </c>
      <c r="H7" s="19">
        <f>B7-D7-E7-F7-G7</f>
        <v>27339.287288</v>
      </c>
      <c r="I7" s="19"/>
      <c r="J7" s="19"/>
      <c r="K7" s="19"/>
      <c r="L7" s="19"/>
      <c r="M7" s="22"/>
      <c r="N7" s="22"/>
    </row>
    <row r="8" spans="1:14" ht="26.25" x14ac:dyDescent="0.25">
      <c r="A8" s="1" t="s">
        <v>58</v>
      </c>
      <c r="B8" s="19">
        <v>46130</v>
      </c>
      <c r="C8" s="19"/>
      <c r="D8" s="19">
        <f>D14*8%</f>
        <v>4334.24</v>
      </c>
      <c r="E8" s="19">
        <f>E14*20%</f>
        <v>27339.4</v>
      </c>
      <c r="F8" s="19">
        <f t="shared" ref="F8:F11" si="1">E8*30.44%</f>
        <v>8322.1133600000012</v>
      </c>
      <c r="G8" s="19">
        <f>G14*11%</f>
        <v>514.58000000000004</v>
      </c>
      <c r="H8" s="19">
        <f t="shared" ref="H8:H11" si="2">B8-D8-E8-F8-G8</f>
        <v>5619.6666399999995</v>
      </c>
      <c r="I8" s="19"/>
      <c r="J8" s="19"/>
      <c r="K8" s="19"/>
      <c r="L8" s="19"/>
      <c r="M8" s="22"/>
      <c r="N8" s="22"/>
    </row>
    <row r="9" spans="1:14" ht="27.75" customHeight="1" x14ac:dyDescent="0.25">
      <c r="A9" s="1" t="s">
        <v>59</v>
      </c>
      <c r="B9" s="19">
        <v>15377</v>
      </c>
      <c r="C9" s="19"/>
      <c r="D9" s="19">
        <f>D14*2%</f>
        <v>1083.56</v>
      </c>
      <c r="E9" s="19">
        <f>E14*6%</f>
        <v>8201.82</v>
      </c>
      <c r="F9" s="19">
        <f t="shared" si="1"/>
        <v>2496.634008</v>
      </c>
      <c r="G9" s="19">
        <f>G14*2%</f>
        <v>93.56</v>
      </c>
      <c r="H9" s="19">
        <f t="shared" si="2"/>
        <v>3501.4259920000009</v>
      </c>
      <c r="I9" s="19"/>
      <c r="J9" s="19"/>
      <c r="K9" s="19"/>
      <c r="L9" s="19"/>
      <c r="M9" s="22"/>
      <c r="N9" s="22"/>
    </row>
    <row r="10" spans="1:14" ht="26.25" x14ac:dyDescent="0.25">
      <c r="A10" s="1" t="s">
        <v>60</v>
      </c>
      <c r="B10" s="19">
        <v>18452</v>
      </c>
      <c r="C10" s="19"/>
      <c r="D10" s="19">
        <f>D14*11%</f>
        <v>5959.58</v>
      </c>
      <c r="E10" s="19">
        <f>E14*6%</f>
        <v>8201.82</v>
      </c>
      <c r="F10" s="19">
        <f t="shared" si="1"/>
        <v>2496.634008</v>
      </c>
      <c r="G10" s="19">
        <f>G14*5%</f>
        <v>233.9</v>
      </c>
      <c r="H10" s="19">
        <f t="shared" si="2"/>
        <v>1560.0659920000003</v>
      </c>
      <c r="I10" s="19"/>
      <c r="J10" s="19"/>
      <c r="K10" s="19"/>
      <c r="L10" s="19"/>
      <c r="M10" s="22"/>
      <c r="N10" s="22"/>
    </row>
    <row r="11" spans="1:14" ht="26.25" x14ac:dyDescent="0.25">
      <c r="A11" s="24" t="s">
        <v>61</v>
      </c>
      <c r="B11" s="25">
        <f>307530-B6</f>
        <v>116860</v>
      </c>
      <c r="C11" s="25"/>
      <c r="D11" s="25">
        <f>D14*39%</f>
        <v>21129.420000000002</v>
      </c>
      <c r="E11" s="25">
        <f>E14*34%</f>
        <v>46476.98</v>
      </c>
      <c r="F11" s="25">
        <f t="shared" si="1"/>
        <v>14147.592712000001</v>
      </c>
      <c r="G11" s="25">
        <f>G14*59%</f>
        <v>2760.02</v>
      </c>
      <c r="H11" s="25">
        <f t="shared" si="2"/>
        <v>32345.987287999993</v>
      </c>
      <c r="I11" s="25"/>
      <c r="J11" s="25"/>
      <c r="K11" s="25"/>
      <c r="L11" s="25"/>
      <c r="M11" s="22"/>
      <c r="N11" s="22"/>
    </row>
    <row r="12" spans="1:14" x14ac:dyDescent="0.25">
      <c r="A12" s="24" t="s">
        <v>62</v>
      </c>
      <c r="B12" s="25">
        <f>3877+834</f>
        <v>4711</v>
      </c>
      <c r="C12" s="24"/>
      <c r="D12" s="24"/>
      <c r="E12" s="24"/>
      <c r="F12" s="24"/>
      <c r="G12" s="24"/>
      <c r="H12" s="24"/>
      <c r="I12" s="24"/>
      <c r="J12" s="26">
        <f>'2017'!D20</f>
        <v>1539</v>
      </c>
      <c r="K12" s="24"/>
      <c r="L12" s="26">
        <f>'2017'!D22</f>
        <v>11378</v>
      </c>
      <c r="M12" s="22"/>
      <c r="N12" s="22"/>
    </row>
    <row r="13" spans="1:14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</row>
    <row r="14" spans="1:14" hidden="1" x14ac:dyDescent="0.25">
      <c r="B14" s="20">
        <f>B6+B11+B12</f>
        <v>312241</v>
      </c>
      <c r="C14" s="20">
        <f t="shared" ref="C14:L14" si="3">C6+C11+C12</f>
        <v>0</v>
      </c>
      <c r="D14" s="20">
        <f>39808+14370</f>
        <v>54178</v>
      </c>
      <c r="E14" s="20">
        <v>136697</v>
      </c>
      <c r="F14" s="20">
        <v>41611</v>
      </c>
      <c r="G14" s="20">
        <v>4678</v>
      </c>
      <c r="H14" s="20">
        <f>12967+13777+8000+36021</f>
        <v>70765</v>
      </c>
      <c r="I14" s="20">
        <f t="shared" si="3"/>
        <v>0</v>
      </c>
      <c r="J14" s="20">
        <f t="shared" si="3"/>
        <v>1539</v>
      </c>
      <c r="K14" s="20">
        <f t="shared" si="3"/>
        <v>0</v>
      </c>
      <c r="L14" s="20">
        <f t="shared" si="3"/>
        <v>11378</v>
      </c>
    </row>
  </sheetData>
  <mergeCells count="4">
    <mergeCell ref="A2:L2"/>
    <mergeCell ref="A4:A5"/>
    <mergeCell ref="B4:B5"/>
    <mergeCell ref="C4:L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F32"/>
  <sheetViews>
    <sheetView workbookViewId="0">
      <selection activeCell="F24" sqref="F24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16384" width="9.140625" style="2"/>
  </cols>
  <sheetData>
    <row r="1" spans="1:4" ht="3" customHeight="1" x14ac:dyDescent="0.25"/>
    <row r="2" spans="1:4" ht="83.25" customHeight="1" x14ac:dyDescent="0.3">
      <c r="A2" s="29" t="s">
        <v>53</v>
      </c>
      <c r="B2" s="29"/>
      <c r="C2" s="29"/>
      <c r="D2" s="29"/>
    </row>
    <row r="4" spans="1:4" x14ac:dyDescent="0.25">
      <c r="B4" s="5" t="s">
        <v>34</v>
      </c>
    </row>
    <row r="6" spans="1:4" ht="43.9" customHeight="1" x14ac:dyDescent="0.25">
      <c r="A6" s="16" t="s">
        <v>13</v>
      </c>
      <c r="B6" s="17" t="s">
        <v>14</v>
      </c>
      <c r="C6" s="16" t="s">
        <v>15</v>
      </c>
      <c r="D6" s="17" t="s">
        <v>47</v>
      </c>
    </row>
    <row r="7" spans="1:4" x14ac:dyDescent="0.25">
      <c r="A7" s="10">
        <v>1</v>
      </c>
      <c r="B7" s="11" t="s">
        <v>16</v>
      </c>
      <c r="C7" s="11" t="s">
        <v>21</v>
      </c>
      <c r="D7" s="18">
        <f>'Д и Р по бюджету 2018'!D7*1.05</f>
        <v>303618</v>
      </c>
    </row>
    <row r="8" spans="1:4" x14ac:dyDescent="0.25">
      <c r="A8" s="10" t="s">
        <v>4</v>
      </c>
      <c r="B8" s="11" t="s">
        <v>17</v>
      </c>
      <c r="C8" s="11" t="s">
        <v>21</v>
      </c>
      <c r="D8" s="18">
        <f>'Д и Р по бюджету 2018'!D8*1.05</f>
        <v>94227</v>
      </c>
    </row>
    <row r="9" spans="1:4" x14ac:dyDescent="0.25">
      <c r="A9" s="10" t="s">
        <v>5</v>
      </c>
      <c r="B9" s="11" t="s">
        <v>18</v>
      </c>
      <c r="C9" s="11" t="s">
        <v>21</v>
      </c>
      <c r="D9" s="18">
        <f>'Д и Р по бюджету 2018'!D9*1.05</f>
        <v>40780.950000000004</v>
      </c>
    </row>
    <row r="10" spans="1:4" x14ac:dyDescent="0.25">
      <c r="A10" s="10" t="s">
        <v>6</v>
      </c>
      <c r="B10" s="11" t="s">
        <v>19</v>
      </c>
      <c r="C10" s="11" t="s">
        <v>21</v>
      </c>
      <c r="D10" s="18">
        <f>'Д и Р по бюджету 2018'!D10*1.05</f>
        <v>22103.55</v>
      </c>
    </row>
    <row r="11" spans="1:4" x14ac:dyDescent="0.25">
      <c r="A11" s="10" t="s">
        <v>7</v>
      </c>
      <c r="B11" s="11" t="s">
        <v>20</v>
      </c>
      <c r="C11" s="11" t="s">
        <v>21</v>
      </c>
      <c r="D11" s="18">
        <f>'Д и Р по бюджету 2018'!D11*1.05</f>
        <v>20469.75</v>
      </c>
    </row>
    <row r="12" spans="1:4" ht="27" customHeight="1" x14ac:dyDescent="0.25">
      <c r="A12" s="10">
        <v>2</v>
      </c>
      <c r="B12" s="12" t="s">
        <v>35</v>
      </c>
      <c r="C12" s="11" t="s">
        <v>21</v>
      </c>
      <c r="D12" s="18">
        <f>'Д и Р по бюджету 2018'!D12*1.05</f>
        <v>322906.5</v>
      </c>
    </row>
    <row r="13" spans="1:4" x14ac:dyDescent="0.25">
      <c r="A13" s="10" t="s">
        <v>8</v>
      </c>
      <c r="B13" s="11" t="s">
        <v>17</v>
      </c>
      <c r="C13" s="11" t="s">
        <v>21</v>
      </c>
      <c r="D13" s="18">
        <f>'Д и Р по бюджету 2018'!D13*1.05</f>
        <v>116246.34000000001</v>
      </c>
    </row>
    <row r="14" spans="1:4" x14ac:dyDescent="0.25">
      <c r="A14" s="10" t="s">
        <v>9</v>
      </c>
      <c r="B14" s="11" t="s">
        <v>18</v>
      </c>
      <c r="C14" s="11" t="s">
        <v>21</v>
      </c>
      <c r="D14" s="18">
        <f>'Д и Р по бюджету 2018'!D14*1.05</f>
        <v>48435.974999999999</v>
      </c>
    </row>
    <row r="15" spans="1:4" x14ac:dyDescent="0.25">
      <c r="A15" s="10" t="s">
        <v>10</v>
      </c>
      <c r="B15" s="11" t="s">
        <v>48</v>
      </c>
      <c r="C15" s="11" t="s">
        <v>21</v>
      </c>
      <c r="D15" s="18">
        <f>'Д и Р по бюджету 2018'!D15*1.05</f>
        <v>16145.325000000001</v>
      </c>
    </row>
    <row r="16" spans="1:4" x14ac:dyDescent="0.25">
      <c r="A16" s="10" t="s">
        <v>11</v>
      </c>
      <c r="B16" s="11" t="s">
        <v>20</v>
      </c>
      <c r="C16" s="11" t="s">
        <v>21</v>
      </c>
      <c r="D16" s="18">
        <f>'Д и Р по бюджету 2018'!D16*1.05</f>
        <v>19374.39</v>
      </c>
    </row>
    <row r="17" spans="1:6" x14ac:dyDescent="0.25">
      <c r="A17" s="10">
        <v>3</v>
      </c>
      <c r="B17" s="11" t="s">
        <v>22</v>
      </c>
      <c r="C17" s="11" t="s">
        <v>21</v>
      </c>
      <c r="D17" s="18">
        <f>'Д и Р по бюджету 2018'!D17*1.05</f>
        <v>-19288.5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f>'Д и Р по бюджету 2018'!D18*1.05</f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f>'Д и Р по бюджету 2018'!D19*1.05</f>
        <v>0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f>'Д и Р по бюджету 2018'!D20*1.05</f>
        <v>4070.8500000000004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f>'Д и Р по бюджету 2018'!D21*1.05</f>
        <v>36768.9</v>
      </c>
      <c r="E21" s="21"/>
    </row>
    <row r="22" spans="1:6" x14ac:dyDescent="0.25">
      <c r="A22" s="10">
        <v>8</v>
      </c>
      <c r="B22" s="11" t="s">
        <v>3</v>
      </c>
      <c r="C22" s="11" t="s">
        <v>21</v>
      </c>
      <c r="D22" s="18">
        <f>'Д и Р по бюджету 2018'!D22*1.05</f>
        <v>875.7</v>
      </c>
    </row>
    <row r="23" spans="1:6" x14ac:dyDescent="0.25">
      <c r="A23" s="10">
        <v>9</v>
      </c>
      <c r="B23" s="11" t="s">
        <v>27</v>
      </c>
      <c r="C23" s="11" t="s">
        <v>21</v>
      </c>
      <c r="D23" s="18">
        <f>'Д и Р по бюджету 2018'!D23*1.05</f>
        <v>12533.85</v>
      </c>
      <c r="F23" s="20">
        <f>D12+D20+D22</f>
        <v>327853.05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f>'Д и Р по бюджету 2018'!D24*1.05</f>
        <v>0</v>
      </c>
    </row>
    <row r="25" spans="1:6" x14ac:dyDescent="0.25">
      <c r="A25" s="10" t="s">
        <v>12</v>
      </c>
      <c r="B25" s="11" t="s">
        <v>29</v>
      </c>
      <c r="C25" s="11" t="s">
        <v>21</v>
      </c>
      <c r="D25" s="18">
        <f>'Д и Р по бюджету 2018'!D25*1.05</f>
        <v>0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f>'Д и Р по бюджету 2018'!D26*1.05</f>
        <v>0</v>
      </c>
    </row>
    <row r="27" spans="1:6" x14ac:dyDescent="0.25">
      <c r="A27" s="10">
        <v>12</v>
      </c>
      <c r="B27" s="11" t="s">
        <v>31</v>
      </c>
      <c r="C27" s="11" t="s">
        <v>21</v>
      </c>
      <c r="D27" s="18">
        <f>'Д и Р по бюджету 2018'!D27</f>
        <v>2387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f>'Д и Р по бюджету 2018'!D28*1.05</f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f>D23-D27</f>
        <v>10146.85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30"/>
      <c r="B32" s="30"/>
      <c r="C32" s="30"/>
      <c r="D32" s="30"/>
    </row>
  </sheetData>
  <mergeCells count="2">
    <mergeCell ref="A2:D2"/>
    <mergeCell ref="A32:D3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2:N16"/>
  <sheetViews>
    <sheetView workbookViewId="0">
      <selection activeCell="E20" sqref="E20"/>
    </sheetView>
  </sheetViews>
  <sheetFormatPr defaultColWidth="9.140625" defaultRowHeight="15" x14ac:dyDescent="0.25"/>
  <cols>
    <col min="1" max="1" width="23.4257812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35" t="s">
        <v>64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4" spans="1:14" ht="15" customHeight="1" x14ac:dyDescent="0.25">
      <c r="A4" s="31" t="s">
        <v>0</v>
      </c>
      <c r="B4" s="31" t="s">
        <v>1</v>
      </c>
      <c r="C4" s="32" t="s">
        <v>36</v>
      </c>
      <c r="D4" s="33"/>
      <c r="E4" s="33"/>
      <c r="F4" s="33"/>
      <c r="G4" s="33"/>
      <c r="H4" s="33"/>
      <c r="I4" s="33"/>
      <c r="J4" s="33"/>
      <c r="K4" s="33"/>
      <c r="L4" s="34"/>
    </row>
    <row r="5" spans="1:14" ht="98.25" customHeight="1" x14ac:dyDescent="0.25">
      <c r="A5" s="31"/>
      <c r="B5" s="31"/>
      <c r="C5" s="4" t="s">
        <v>37</v>
      </c>
      <c r="D5" s="4" t="s">
        <v>44</v>
      </c>
      <c r="E5" s="4" t="s">
        <v>38</v>
      </c>
      <c r="F5" s="4" t="s">
        <v>45</v>
      </c>
      <c r="G5" s="4" t="s">
        <v>39</v>
      </c>
      <c r="H5" s="4" t="s">
        <v>40</v>
      </c>
      <c r="I5" s="4" t="s">
        <v>41</v>
      </c>
      <c r="J5" s="4" t="s">
        <v>2</v>
      </c>
      <c r="K5" s="4" t="s">
        <v>42</v>
      </c>
      <c r="L5" s="4" t="s">
        <v>43</v>
      </c>
      <c r="M5" s="7"/>
      <c r="N5" s="7"/>
    </row>
    <row r="6" spans="1:14" ht="26.25" customHeight="1" x14ac:dyDescent="0.25">
      <c r="A6" s="24" t="s">
        <v>56</v>
      </c>
      <c r="B6" s="25">
        <f>SUM(B7:B10)</f>
        <v>200203.5</v>
      </c>
      <c r="C6" s="25"/>
      <c r="D6" s="25">
        <f>D7+D8+D9+D10</f>
        <v>36436.059450000001</v>
      </c>
      <c r="E6" s="25">
        <f t="shared" ref="E6:H6" si="0">E7+E8+E9+E10</f>
        <v>94731.021000000008</v>
      </c>
      <c r="F6" s="25">
        <f t="shared" si="0"/>
        <v>28836.122792400001</v>
      </c>
      <c r="G6" s="25">
        <f t="shared" si="0"/>
        <v>2013.8790000000004</v>
      </c>
      <c r="H6" s="25">
        <f t="shared" si="0"/>
        <v>38186.417757599986</v>
      </c>
      <c r="I6" s="25"/>
      <c r="J6" s="25"/>
      <c r="K6" s="25"/>
      <c r="L6" s="25"/>
      <c r="M6" s="7"/>
      <c r="N6" s="7"/>
    </row>
    <row r="7" spans="1:14" ht="39" x14ac:dyDescent="0.25">
      <c r="A7" s="1" t="s">
        <v>57</v>
      </c>
      <c r="B7" s="19">
        <f>110711*1.05</f>
        <v>116246.55</v>
      </c>
      <c r="C7" s="19"/>
      <c r="D7" s="19">
        <f>(D14*40%)*1.05</f>
        <v>23892.498000000003</v>
      </c>
      <c r="E7" s="19">
        <f>E14*34%</f>
        <v>48800.829000000005</v>
      </c>
      <c r="F7" s="19">
        <f>E7*30.44%</f>
        <v>14854.972347600002</v>
      </c>
      <c r="G7" s="19">
        <f>G14*23%</f>
        <v>1129.7370000000001</v>
      </c>
      <c r="H7" s="19">
        <f>B7-D7-E7-F7-G7</f>
        <v>27568.51365239999</v>
      </c>
      <c r="I7" s="19"/>
      <c r="J7" s="19"/>
      <c r="K7" s="19"/>
      <c r="L7" s="19"/>
      <c r="M7" s="7"/>
      <c r="N7" s="7"/>
    </row>
    <row r="8" spans="1:14" ht="26.25" x14ac:dyDescent="0.25">
      <c r="A8" s="1" t="s">
        <v>58</v>
      </c>
      <c r="B8" s="19">
        <f>46130*1.05</f>
        <v>48436.5</v>
      </c>
      <c r="C8" s="19"/>
      <c r="D8" s="19">
        <f>(D14*8%)*1.05</f>
        <v>4778.4996000000001</v>
      </c>
      <c r="E8" s="19">
        <f>E14*20%</f>
        <v>28706.370000000003</v>
      </c>
      <c r="F8" s="19">
        <f t="shared" ref="F8:F11" si="1">E8*30.44%</f>
        <v>8738.2190280000013</v>
      </c>
      <c r="G8" s="19">
        <f>G14*11%</f>
        <v>540.30900000000008</v>
      </c>
      <c r="H8" s="19">
        <f t="shared" ref="H8:H10" si="2">B8-D8-E8-F8-G8</f>
        <v>5673.102371999993</v>
      </c>
      <c r="I8" s="19"/>
      <c r="J8" s="19"/>
      <c r="K8" s="19"/>
      <c r="L8" s="19"/>
      <c r="M8" s="7"/>
      <c r="N8" s="7"/>
    </row>
    <row r="9" spans="1:14" ht="39" x14ac:dyDescent="0.25">
      <c r="A9" s="1" t="s">
        <v>59</v>
      </c>
      <c r="B9" s="19">
        <f>15377*1.05</f>
        <v>16145.85</v>
      </c>
      <c r="C9" s="19"/>
      <c r="D9" s="19">
        <f>(D14*2%)*1.05</f>
        <v>1194.6249</v>
      </c>
      <c r="E9" s="19">
        <f>E14*6%</f>
        <v>8611.9110000000001</v>
      </c>
      <c r="F9" s="19">
        <f t="shared" si="1"/>
        <v>2621.4657084</v>
      </c>
      <c r="G9" s="19">
        <f>G14*2%</f>
        <v>98.238000000000014</v>
      </c>
      <c r="H9" s="19">
        <f t="shared" si="2"/>
        <v>3619.6103915999997</v>
      </c>
      <c r="I9" s="19"/>
      <c r="J9" s="19"/>
      <c r="K9" s="19"/>
      <c r="L9" s="19"/>
      <c r="M9" s="7"/>
      <c r="N9" s="7"/>
    </row>
    <row r="10" spans="1:14" ht="26.25" x14ac:dyDescent="0.25">
      <c r="A10" s="1" t="s">
        <v>60</v>
      </c>
      <c r="B10" s="19">
        <f>18452*1.05</f>
        <v>19374.600000000002</v>
      </c>
      <c r="C10" s="19"/>
      <c r="D10" s="19">
        <f>(D14*11%)*1.05</f>
        <v>6570.4369500000003</v>
      </c>
      <c r="E10" s="19">
        <f>E14*6%</f>
        <v>8611.9110000000001</v>
      </c>
      <c r="F10" s="19">
        <f t="shared" si="1"/>
        <v>2621.4657084</v>
      </c>
      <c r="G10" s="19">
        <f>G14*5%</f>
        <v>245.59500000000003</v>
      </c>
      <c r="H10" s="19">
        <f t="shared" si="2"/>
        <v>1325.1913416000027</v>
      </c>
      <c r="I10" s="19"/>
      <c r="J10" s="19"/>
      <c r="K10" s="19"/>
      <c r="L10" s="19"/>
      <c r="M10" s="7"/>
      <c r="N10" s="7"/>
    </row>
    <row r="11" spans="1:14" ht="26.25" x14ac:dyDescent="0.25">
      <c r="A11" s="24" t="s">
        <v>61</v>
      </c>
      <c r="B11" s="25">
        <f>322907-B6</f>
        <v>122703.5</v>
      </c>
      <c r="C11" s="25"/>
      <c r="D11" s="25">
        <f>(D14*39%)*1.05</f>
        <v>23295.185550000002</v>
      </c>
      <c r="E11" s="25">
        <f>E14*34%</f>
        <v>48800.829000000005</v>
      </c>
      <c r="F11" s="25">
        <f t="shared" si="1"/>
        <v>14854.972347600002</v>
      </c>
      <c r="G11" s="25">
        <f>G14*59%</f>
        <v>2898.0210000000002</v>
      </c>
      <c r="H11" s="25">
        <f>B11-D11-E11-F11-G11-418</f>
        <v>32436.4921024</v>
      </c>
      <c r="I11" s="25"/>
      <c r="J11" s="25"/>
      <c r="K11" s="25"/>
      <c r="L11" s="25"/>
      <c r="M11" s="7"/>
      <c r="N11" s="7"/>
    </row>
    <row r="12" spans="1:14" x14ac:dyDescent="0.25">
      <c r="A12" s="24" t="s">
        <v>62</v>
      </c>
      <c r="B12" s="25">
        <f>'доходы и расх прогноз 2019'!D20+'доходы и расх прогноз 2019'!D22</f>
        <v>4946.55</v>
      </c>
      <c r="C12" s="25"/>
      <c r="D12" s="25"/>
      <c r="E12" s="25"/>
      <c r="F12" s="25"/>
      <c r="G12" s="25"/>
      <c r="H12" s="25"/>
      <c r="I12" s="25"/>
      <c r="J12" s="25">
        <f>'доходы и расх прогноз 2019'!D20</f>
        <v>4070.8500000000004</v>
      </c>
      <c r="K12" s="25"/>
      <c r="L12" s="25">
        <f>'доходы и расх прогноз 2019'!D22</f>
        <v>875.7</v>
      </c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7"/>
      <c r="B14" s="28">
        <f>B6+B11+B12</f>
        <v>327853.55</v>
      </c>
      <c r="C14" s="7">
        <f t="shared" ref="C14:L14" si="3">C6+C11+C12</f>
        <v>0</v>
      </c>
      <c r="D14" s="7">
        <f>(39808+14370)*1.05</f>
        <v>56886.9</v>
      </c>
      <c r="E14" s="7">
        <f>136697*1.05</f>
        <v>143531.85</v>
      </c>
      <c r="F14" s="7">
        <f>41611*1.05</f>
        <v>43691.55</v>
      </c>
      <c r="G14" s="7">
        <f>4678*1.05</f>
        <v>4911.9000000000005</v>
      </c>
      <c r="H14" s="7">
        <f>(12967+13777+8000+36021)*1.05-418</f>
        <v>73885.25</v>
      </c>
      <c r="I14" s="7">
        <f t="shared" si="3"/>
        <v>0</v>
      </c>
      <c r="J14" s="7">
        <f t="shared" si="3"/>
        <v>4070.8500000000004</v>
      </c>
      <c r="K14" s="7">
        <f t="shared" si="3"/>
        <v>0</v>
      </c>
      <c r="L14" s="7">
        <f t="shared" si="3"/>
        <v>875.7</v>
      </c>
      <c r="M14" s="7"/>
      <c r="N14" s="7"/>
    </row>
    <row r="15" spans="1:14" x14ac:dyDescent="0.25">
      <c r="B15" s="20"/>
    </row>
    <row r="16" spans="1:14" x14ac:dyDescent="0.25">
      <c r="K16" s="20"/>
    </row>
  </sheetData>
  <mergeCells count="4">
    <mergeCell ref="A2:L2"/>
    <mergeCell ref="A4:A5"/>
    <mergeCell ref="B4:B5"/>
    <mergeCell ref="C4:L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F32"/>
  <sheetViews>
    <sheetView workbookViewId="0">
      <selection activeCell="F21" sqref="F21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16384" width="9.140625" style="2"/>
  </cols>
  <sheetData>
    <row r="1" spans="1:4" ht="3" customHeight="1" x14ac:dyDescent="0.25"/>
    <row r="2" spans="1:4" ht="95.25" customHeight="1" x14ac:dyDescent="0.3">
      <c r="A2" s="29" t="s">
        <v>54</v>
      </c>
      <c r="B2" s="29"/>
      <c r="C2" s="29"/>
      <c r="D2" s="29"/>
    </row>
    <row r="4" spans="1:4" x14ac:dyDescent="0.25">
      <c r="B4" s="5" t="s">
        <v>34</v>
      </c>
    </row>
    <row r="6" spans="1:4" ht="43.9" customHeight="1" x14ac:dyDescent="0.25">
      <c r="A6" s="16" t="s">
        <v>13</v>
      </c>
      <c r="B6" s="17" t="s">
        <v>14</v>
      </c>
      <c r="C6" s="16" t="s">
        <v>15</v>
      </c>
      <c r="D6" s="17" t="s">
        <v>55</v>
      </c>
    </row>
    <row r="7" spans="1:4" x14ac:dyDescent="0.25">
      <c r="A7" s="10">
        <v>1</v>
      </c>
      <c r="B7" s="11" t="s">
        <v>16</v>
      </c>
      <c r="C7" s="11" t="s">
        <v>21</v>
      </c>
      <c r="D7" s="18">
        <f>'доходы и расх прогноз 2019'!D7*1.05</f>
        <v>318798.90000000002</v>
      </c>
    </row>
    <row r="8" spans="1:4" x14ac:dyDescent="0.25">
      <c r="A8" s="10" t="s">
        <v>4</v>
      </c>
      <c r="B8" s="11" t="s">
        <v>17</v>
      </c>
      <c r="C8" s="11" t="s">
        <v>21</v>
      </c>
      <c r="D8" s="18">
        <f>'доходы и расх прогноз 2019'!D8*1.05</f>
        <v>98938.35</v>
      </c>
    </row>
    <row r="9" spans="1:4" x14ac:dyDescent="0.25">
      <c r="A9" s="10" t="s">
        <v>5</v>
      </c>
      <c r="B9" s="11" t="s">
        <v>18</v>
      </c>
      <c r="C9" s="11" t="s">
        <v>21</v>
      </c>
      <c r="D9" s="18">
        <f>'доходы и расх прогноз 2019'!D9*1.05</f>
        <v>42819.997500000005</v>
      </c>
    </row>
    <row r="10" spans="1:4" x14ac:dyDescent="0.25">
      <c r="A10" s="10" t="s">
        <v>6</v>
      </c>
      <c r="B10" s="11" t="s">
        <v>19</v>
      </c>
      <c r="C10" s="11" t="s">
        <v>21</v>
      </c>
      <c r="D10" s="18">
        <f>'доходы и расх прогноз 2019'!D10*1.05</f>
        <v>23208.727500000001</v>
      </c>
    </row>
    <row r="11" spans="1:4" x14ac:dyDescent="0.25">
      <c r="A11" s="10" t="s">
        <v>7</v>
      </c>
      <c r="B11" s="11" t="s">
        <v>20</v>
      </c>
      <c r="C11" s="11" t="s">
        <v>21</v>
      </c>
      <c r="D11" s="18">
        <f>'доходы и расх прогноз 2019'!D11*1.05</f>
        <v>21493.237499999999</v>
      </c>
    </row>
    <row r="12" spans="1:4" ht="27" customHeight="1" x14ac:dyDescent="0.25">
      <c r="A12" s="10">
        <v>2</v>
      </c>
      <c r="B12" s="12" t="s">
        <v>35</v>
      </c>
      <c r="C12" s="11" t="s">
        <v>21</v>
      </c>
      <c r="D12" s="18">
        <f>'доходы и расх прогноз 2019'!D12*1.05</f>
        <v>339051.82500000001</v>
      </c>
    </row>
    <row r="13" spans="1:4" x14ac:dyDescent="0.25">
      <c r="A13" s="10" t="s">
        <v>8</v>
      </c>
      <c r="B13" s="11" t="s">
        <v>17</v>
      </c>
      <c r="C13" s="11" t="s">
        <v>21</v>
      </c>
      <c r="D13" s="18">
        <f>'доходы и расх прогноз 2019'!D13*1.05</f>
        <v>122058.65700000002</v>
      </c>
    </row>
    <row r="14" spans="1:4" x14ac:dyDescent="0.25">
      <c r="A14" s="10" t="s">
        <v>9</v>
      </c>
      <c r="B14" s="11" t="s">
        <v>18</v>
      </c>
      <c r="C14" s="11" t="s">
        <v>21</v>
      </c>
      <c r="D14" s="18">
        <f>'доходы и расх прогноз 2019'!D14*1.05</f>
        <v>50857.77375</v>
      </c>
    </row>
    <row r="15" spans="1:4" x14ac:dyDescent="0.25">
      <c r="A15" s="10" t="s">
        <v>10</v>
      </c>
      <c r="B15" s="11" t="s">
        <v>48</v>
      </c>
      <c r="C15" s="11" t="s">
        <v>21</v>
      </c>
      <c r="D15" s="18">
        <f>'доходы и расх прогноз 2019'!D15*1.05</f>
        <v>16952.591250000001</v>
      </c>
    </row>
    <row r="16" spans="1:4" x14ac:dyDescent="0.25">
      <c r="A16" s="10" t="s">
        <v>11</v>
      </c>
      <c r="B16" s="11" t="s">
        <v>20</v>
      </c>
      <c r="C16" s="11" t="s">
        <v>21</v>
      </c>
      <c r="D16" s="18">
        <f>'доходы и расх прогноз 2019'!D16*1.05</f>
        <v>20343.109499999999</v>
      </c>
    </row>
    <row r="17" spans="1:6" x14ac:dyDescent="0.25">
      <c r="A17" s="10">
        <v>3</v>
      </c>
      <c r="B17" s="11" t="s">
        <v>22</v>
      </c>
      <c r="C17" s="11" t="s">
        <v>21</v>
      </c>
      <c r="D17" s="18">
        <f>'доходы и расх прогноз 2019'!D17*1.05</f>
        <v>-20252.924999999999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f>'доходы и расх прогноз 2019'!D18*1.05</f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f>'доходы и расх прогноз 2019'!D19*1.05</f>
        <v>0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f>'доходы и расх прогноз 2019'!D20*1.05</f>
        <v>4274.3925000000008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f>'доходы и расх прогноз 2019'!D21*1.05</f>
        <v>38607.345000000001</v>
      </c>
      <c r="E21" s="21"/>
      <c r="F21" s="20">
        <f>D12+D20+D22</f>
        <v>344245.70250000001</v>
      </c>
    </row>
    <row r="22" spans="1:6" x14ac:dyDescent="0.25">
      <c r="A22" s="10">
        <v>8</v>
      </c>
      <c r="B22" s="11" t="s">
        <v>3</v>
      </c>
      <c r="C22" s="11" t="s">
        <v>21</v>
      </c>
      <c r="D22" s="18">
        <f>'доходы и расх прогноз 2019'!D22*1.05</f>
        <v>919.48500000000013</v>
      </c>
    </row>
    <row r="23" spans="1:6" x14ac:dyDescent="0.25">
      <c r="A23" s="10">
        <v>9</v>
      </c>
      <c r="B23" s="11" t="s">
        <v>27</v>
      </c>
      <c r="C23" s="11" t="s">
        <v>21</v>
      </c>
      <c r="D23" s="18">
        <f>'доходы и расх прогноз 2019'!D23*1.05</f>
        <v>13160.542500000001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f>'доходы и расх прогноз 2019'!D24*1.05</f>
        <v>0</v>
      </c>
    </row>
    <row r="25" spans="1:6" x14ac:dyDescent="0.25">
      <c r="A25" s="10" t="s">
        <v>12</v>
      </c>
      <c r="B25" s="11" t="s">
        <v>29</v>
      </c>
      <c r="C25" s="11" t="s">
        <v>21</v>
      </c>
      <c r="D25" s="18">
        <f>'доходы и расх прогноз 2019'!D25*1.05</f>
        <v>0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f>'доходы и расх прогноз 2019'!D26*1.05</f>
        <v>0</v>
      </c>
    </row>
    <row r="27" spans="1:6" x14ac:dyDescent="0.25">
      <c r="A27" s="10">
        <v>12</v>
      </c>
      <c r="B27" s="11" t="s">
        <v>31</v>
      </c>
      <c r="C27" s="11" t="s">
        <v>21</v>
      </c>
      <c r="D27" s="18">
        <f>'доходы и расх прогноз 2019'!D27*1.05</f>
        <v>2506.35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f>'доходы и расх прогноз 2019'!D28*1.05</f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f>'доходы и расх прогноз 2019'!D29*1.05</f>
        <v>10654.192500000001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30"/>
      <c r="B32" s="30"/>
      <c r="C32" s="30"/>
      <c r="D32" s="30"/>
    </row>
  </sheetData>
  <mergeCells count="2">
    <mergeCell ref="A2:D2"/>
    <mergeCell ref="A32:D3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2:N19"/>
  <sheetViews>
    <sheetView tabSelected="1" workbookViewId="0">
      <selection activeCell="C26" sqref="C26"/>
    </sheetView>
  </sheetViews>
  <sheetFormatPr defaultColWidth="9.140625" defaultRowHeight="15" x14ac:dyDescent="0.25"/>
  <cols>
    <col min="1" max="1" width="23.4257812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35" t="s">
        <v>65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4" spans="1:14" ht="15" customHeight="1" x14ac:dyDescent="0.25">
      <c r="A4" s="31" t="s">
        <v>0</v>
      </c>
      <c r="B4" s="31" t="s">
        <v>1</v>
      </c>
      <c r="C4" s="32" t="s">
        <v>36</v>
      </c>
      <c r="D4" s="33"/>
      <c r="E4" s="33"/>
      <c r="F4" s="33"/>
      <c r="G4" s="33"/>
      <c r="H4" s="33"/>
      <c r="I4" s="33"/>
      <c r="J4" s="33"/>
      <c r="K4" s="33"/>
      <c r="L4" s="34"/>
    </row>
    <row r="5" spans="1:14" ht="98.25" customHeight="1" x14ac:dyDescent="0.25">
      <c r="A5" s="31"/>
      <c r="B5" s="31"/>
      <c r="C5" s="9" t="s">
        <v>37</v>
      </c>
      <c r="D5" s="9" t="s">
        <v>44</v>
      </c>
      <c r="E5" s="9" t="s">
        <v>38</v>
      </c>
      <c r="F5" s="9" t="s">
        <v>45</v>
      </c>
      <c r="G5" s="9" t="s">
        <v>39</v>
      </c>
      <c r="H5" s="9" t="s">
        <v>40</v>
      </c>
      <c r="I5" s="9" t="s">
        <v>41</v>
      </c>
      <c r="J5" s="9" t="s">
        <v>2</v>
      </c>
      <c r="K5" s="9" t="s">
        <v>42</v>
      </c>
      <c r="L5" s="9" t="s">
        <v>43</v>
      </c>
      <c r="M5" s="8"/>
      <c r="N5" s="8"/>
    </row>
    <row r="6" spans="1:14" ht="26.25" customHeight="1" x14ac:dyDescent="0.25">
      <c r="A6" s="24" t="s">
        <v>56</v>
      </c>
      <c r="B6" s="25">
        <f>SUM(B7:B10)</f>
        <v>210213.67500000002</v>
      </c>
      <c r="C6" s="25"/>
      <c r="D6" s="25">
        <f>D7+D8+D9+D10</f>
        <v>40170.755543625004</v>
      </c>
      <c r="E6" s="25">
        <f t="shared" ref="E6:H6" si="0">E7+E8+E9+E10</f>
        <v>104440.9506525</v>
      </c>
      <c r="F6" s="25">
        <f t="shared" si="0"/>
        <v>31791.825378621004</v>
      </c>
      <c r="G6" s="25">
        <f t="shared" si="0"/>
        <v>2095.2397116000006</v>
      </c>
      <c r="H6" s="25">
        <f t="shared" si="0"/>
        <v>31714.903713653974</v>
      </c>
      <c r="I6" s="25"/>
      <c r="J6" s="25"/>
      <c r="K6" s="25"/>
      <c r="L6" s="25"/>
      <c r="M6" s="8"/>
      <c r="N6" s="8"/>
    </row>
    <row r="7" spans="1:14" ht="39" x14ac:dyDescent="0.25">
      <c r="A7" s="1" t="s">
        <v>57</v>
      </c>
      <c r="B7" s="19">
        <f>116246.55*1.05</f>
        <v>122058.8775</v>
      </c>
      <c r="C7" s="19"/>
      <c r="D7" s="19">
        <f>(D14*40%)*1.05*1.05</f>
        <v>26341.479045000007</v>
      </c>
      <c r="E7" s="19">
        <f>E14*34%*1.05</f>
        <v>53802.913972500006</v>
      </c>
      <c r="F7" s="19">
        <f>E7*30.44%</f>
        <v>16377.607013229002</v>
      </c>
      <c r="G7" s="19">
        <f>G14*23%*1.02</f>
        <v>1175.3783748000003</v>
      </c>
      <c r="H7" s="19">
        <f>B7-D7-E7-F7-G7</f>
        <v>24361.499094470979</v>
      </c>
      <c r="I7" s="19"/>
      <c r="J7" s="19"/>
      <c r="K7" s="19"/>
      <c r="L7" s="19"/>
      <c r="M7" s="8"/>
      <c r="N7" s="8"/>
    </row>
    <row r="8" spans="1:14" ht="26.25" x14ac:dyDescent="0.25">
      <c r="A8" s="1" t="s">
        <v>58</v>
      </c>
      <c r="B8" s="19">
        <f>48436.5*1.05</f>
        <v>50858.325000000004</v>
      </c>
      <c r="C8" s="19"/>
      <c r="D8" s="19">
        <f>(D14*8%)*1.05*1.05</f>
        <v>5268.2958090000002</v>
      </c>
      <c r="E8" s="19">
        <f>E14*20%*1.05</f>
        <v>31648.772925000005</v>
      </c>
      <c r="F8" s="19">
        <f t="shared" ref="F8:F11" si="1">E8*30.44%</f>
        <v>9633.886478370001</v>
      </c>
      <c r="G8" s="19">
        <f>G14*11%*1.02</f>
        <v>562.13748360000011</v>
      </c>
      <c r="H8" s="19">
        <f t="shared" ref="H8:H10" si="2">B8-D8-E8-F8-G8</f>
        <v>3745.2323040299957</v>
      </c>
      <c r="I8" s="19"/>
      <c r="J8" s="19"/>
      <c r="K8" s="19"/>
      <c r="L8" s="19"/>
      <c r="M8" s="8"/>
      <c r="N8" s="8"/>
    </row>
    <row r="9" spans="1:14" ht="39" x14ac:dyDescent="0.25">
      <c r="A9" s="1" t="s">
        <v>59</v>
      </c>
      <c r="B9" s="19">
        <f>16145.85*1.05</f>
        <v>16953.142500000002</v>
      </c>
      <c r="C9" s="19"/>
      <c r="D9" s="19">
        <f>(D14*2%)*1.05*1.05</f>
        <v>1317.07395225</v>
      </c>
      <c r="E9" s="19">
        <f>E14*6%*1.05</f>
        <v>9494.6318775</v>
      </c>
      <c r="F9" s="19">
        <f t="shared" si="1"/>
        <v>2890.165943511</v>
      </c>
      <c r="G9" s="19">
        <f>G14*2%*1.02</f>
        <v>102.20681520000001</v>
      </c>
      <c r="H9" s="19">
        <f t="shared" si="2"/>
        <v>3149.0639115390009</v>
      </c>
      <c r="I9" s="19"/>
      <c r="J9" s="19"/>
      <c r="K9" s="19"/>
      <c r="L9" s="19"/>
      <c r="M9" s="8"/>
      <c r="N9" s="8"/>
    </row>
    <row r="10" spans="1:14" ht="26.25" x14ac:dyDescent="0.25">
      <c r="A10" s="1" t="s">
        <v>60</v>
      </c>
      <c r="B10" s="19">
        <f>19374.6*1.05</f>
        <v>20343.329999999998</v>
      </c>
      <c r="C10" s="19"/>
      <c r="D10" s="19">
        <f>(D14*11%)*1.05*1.05</f>
        <v>7243.9067373750004</v>
      </c>
      <c r="E10" s="19">
        <f>E14*6%*1.05</f>
        <v>9494.6318775</v>
      </c>
      <c r="F10" s="19">
        <f t="shared" si="1"/>
        <v>2890.165943511</v>
      </c>
      <c r="G10" s="19">
        <f>G14*5%*1.02</f>
        <v>255.51703800000007</v>
      </c>
      <c r="H10" s="19">
        <f t="shared" si="2"/>
        <v>459.10840361399767</v>
      </c>
      <c r="I10" s="19"/>
      <c r="J10" s="19"/>
      <c r="K10" s="19"/>
      <c r="L10" s="19"/>
      <c r="M10" s="8"/>
      <c r="N10" s="8"/>
    </row>
    <row r="11" spans="1:14" ht="26.25" x14ac:dyDescent="0.25">
      <c r="A11" s="24" t="s">
        <v>61</v>
      </c>
      <c r="B11" s="25">
        <f>128592+494</f>
        <v>129086</v>
      </c>
      <c r="C11" s="25"/>
      <c r="D11" s="25">
        <f>(D14*39%)*1.05*1.05</f>
        <v>25682.942068875003</v>
      </c>
      <c r="E11" s="25">
        <f>E14*34%*1.05</f>
        <v>53802.913972500006</v>
      </c>
      <c r="F11" s="25">
        <f t="shared" si="1"/>
        <v>16377.607013229002</v>
      </c>
      <c r="G11" s="25">
        <f>G14*59%*1.02</f>
        <v>3015.1010484000008</v>
      </c>
      <c r="H11" s="25">
        <f>B11-D11-E11-F11-G11-248</f>
        <v>29959.435896995979</v>
      </c>
      <c r="I11" s="25"/>
      <c r="J11" s="25"/>
      <c r="K11" s="25"/>
      <c r="L11" s="25"/>
      <c r="M11" s="8"/>
      <c r="N11" s="8"/>
    </row>
    <row r="12" spans="1:14" x14ac:dyDescent="0.25">
      <c r="A12" s="24" t="s">
        <v>62</v>
      </c>
      <c r="B12" s="25">
        <f>'доходы и расх прогноз 2019'!D20+'доходы и расх прогноз 2019'!D22</f>
        <v>4946.55</v>
      </c>
      <c r="C12" s="25"/>
      <c r="D12" s="25"/>
      <c r="E12" s="25"/>
      <c r="F12" s="25"/>
      <c r="G12" s="25"/>
      <c r="H12" s="25"/>
      <c r="I12" s="25"/>
      <c r="J12" s="25">
        <f>'дох расх прогноз 2020'!D20</f>
        <v>4274.3925000000008</v>
      </c>
      <c r="K12" s="25"/>
      <c r="L12" s="25">
        <f>'дох расх прогноз 2020'!D22</f>
        <v>919.48500000000013</v>
      </c>
      <c r="M12" s="8"/>
      <c r="N12" s="8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 x14ac:dyDescent="0.25">
      <c r="A14" s="8"/>
      <c r="B14" s="28">
        <f>B6+B11+B12</f>
        <v>344246.22500000003</v>
      </c>
      <c r="C14" s="28">
        <f t="shared" ref="C14:L14" si="3">C6+C11+C12</f>
        <v>0</v>
      </c>
      <c r="D14" s="28">
        <f>(39808+14370)*1.05*1.05</f>
        <v>59731.245000000003</v>
      </c>
      <c r="E14" s="28">
        <f>136697*1.05*1.05</f>
        <v>150708.4425</v>
      </c>
      <c r="F14" s="28">
        <f>41611*1.05</f>
        <v>43691.55</v>
      </c>
      <c r="G14" s="28">
        <f>4678*1.05*1.02</f>
        <v>5010.1380000000008</v>
      </c>
      <c r="H14" s="28">
        <f>(12967+13777+8000+36021)*1.05</f>
        <v>74303.25</v>
      </c>
      <c r="I14" s="28">
        <f t="shared" si="3"/>
        <v>0</v>
      </c>
      <c r="J14" s="28">
        <f t="shared" si="3"/>
        <v>4274.3925000000008</v>
      </c>
      <c r="K14" s="28">
        <f t="shared" si="3"/>
        <v>0</v>
      </c>
      <c r="L14" s="28">
        <f t="shared" si="3"/>
        <v>919.48500000000013</v>
      </c>
      <c r="M14" s="8"/>
      <c r="N14" s="8"/>
    </row>
    <row r="15" spans="1:14" hidden="1" x14ac:dyDescent="0.25">
      <c r="B15" s="20"/>
      <c r="D15" s="20">
        <f>D6+D11+D12</f>
        <v>65853.697612500007</v>
      </c>
      <c r="E15" s="20">
        <f t="shared" ref="E15:L15" si="4">E6+E11+E12</f>
        <v>158243.86462500002</v>
      </c>
      <c r="F15" s="20">
        <f t="shared" si="4"/>
        <v>48169.432391850009</v>
      </c>
      <c r="G15" s="20">
        <f t="shared" si="4"/>
        <v>5110.340760000001</v>
      </c>
      <c r="H15" s="20">
        <f t="shared" si="4"/>
        <v>61674.339610649957</v>
      </c>
      <c r="I15" s="20">
        <f t="shared" si="4"/>
        <v>0</v>
      </c>
      <c r="J15" s="20">
        <f t="shared" si="4"/>
        <v>4274.3925000000008</v>
      </c>
      <c r="K15" s="20">
        <f t="shared" si="4"/>
        <v>0</v>
      </c>
      <c r="L15" s="20">
        <f t="shared" si="4"/>
        <v>919.48500000000013</v>
      </c>
    </row>
    <row r="16" spans="1:14" x14ac:dyDescent="0.25">
      <c r="K16" s="20"/>
    </row>
    <row r="19" spans="2:2" x14ac:dyDescent="0.25">
      <c r="B19" s="27"/>
    </row>
  </sheetData>
  <mergeCells count="4">
    <mergeCell ref="A2:L2"/>
    <mergeCell ref="A4:A5"/>
    <mergeCell ref="B4:B5"/>
    <mergeCell ref="C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2017</vt:lpstr>
      <vt:lpstr>расходы 2017</vt:lpstr>
      <vt:lpstr>Д и Р по бюджету 2018</vt:lpstr>
      <vt:lpstr>расшиф расходов 2018</vt:lpstr>
      <vt:lpstr>доходы и расх прогноз 2019</vt:lpstr>
      <vt:lpstr>расш расходов прогноз 2019</vt:lpstr>
      <vt:lpstr>дох расх прогноз 2020</vt:lpstr>
      <vt:lpstr>расш расх прогноз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Кондратьев Игорь</dc:creator>
  <cp:lastModifiedBy>Серебренникова</cp:lastModifiedBy>
  <cp:lastPrinted>2018-04-05T06:57:34Z</cp:lastPrinted>
  <dcterms:created xsi:type="dcterms:W3CDTF">2014-04-15T07:47:11Z</dcterms:created>
  <dcterms:modified xsi:type="dcterms:W3CDTF">2018-04-06T03:17:11Z</dcterms:modified>
</cp:coreProperties>
</file>